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64"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<sst xmlns="http://schemas.openxmlformats.org/spreadsheetml/2006/main" count="903" uniqueCount="806">
  <si>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</si>
  <si>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</si>
  <si>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</si>
  <si>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</si>
  <si>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</si>
  <si>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</si>
  <si>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</si>
  <si>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</si>
  <si>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</si>
  <si>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</si>
  <si>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</si>
  <si>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</si>
  <si>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</si>
  <si>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</si>
  <si>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</si>
  <si>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</si>
  <si>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</si>
  <si>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</si>
  <si>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</si>
  <si>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</si>
  <si>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</si>
  <si>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</si>
  <si>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</si>
  <si>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</si>
  <si>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</si>
  <si>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</si>
  <si>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</si>
  <si>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</si>
  <si>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</si>
  <si>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</si>
  <si>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</si>
  <si>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</si>
  <si>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</si>
  <si>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</si>
  <si>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</si>
  <si>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</si>
  <si>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</si>
  <si>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</si>
  <si>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</si>
  <si>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</si>
  <si>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</si>
  <si>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</si>
  <si>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</si>
  <si>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</si>
  <si>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</si>
  <si>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</si>
  <si>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</si>
  <si>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</si>
  <si>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</si>
  <si>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</si>
  <si>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</si>
  <si>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</si>
  <si>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</si>
  <si>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</si>
  <si>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</si>
  <si>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</si>
  <si>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</si>
  <si>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</si>
  <si>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</si>
  <si>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</si>
  <si>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</si>
  <si>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</si>
  <si>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</si>
  <si>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</si>
  <si>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</si>
  <si>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</si>
  <si>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</si>
  <si>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</si>
  <si>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</si>
  <si>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</si>
  <si>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</si>
  <si>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</si>
  <si>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</si>
  <si>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</si>
  <si>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</si>
  <si>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</si>
  <si>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</si>
  <si>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</si>
  <si>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</si>
  <si>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</si>
  <si>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</si>
  <si>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</si>
  <si>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</si>
  <si>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</si>
  <si>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</si>
  <si>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</si>
  <si>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</si>
  <si>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</si>
  <si>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</si>
  <si>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</si>
  <si>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</si>
  <si>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</si>
  <si>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</si>
  <si>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</si>
  <si>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</si>
  <si>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</si>
  <si>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</si>
  <si>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</si>
  <si>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</si>
  <si>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</si>
  <si>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</si>
  <si>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</si>
  <si>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</si>
  <si>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</si>
  <si>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</si>
  <si>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</si>
  <si>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</si>
  <si>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</si>
  <si>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</si>
  <si>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</si>
  <si>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</si>
  <si>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</si>
  <si>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</si>
  <si>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</si>
  <si>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</si>
  <si>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</si>
  <si>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</si>
  <si>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</si>
  <si>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</si>
  <si>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</si>
  <si>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</si>
  <si>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</si>
  <si>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</si>
  <si>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</si>
  <si>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</si>
  <si>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</si>
  <si>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</si>
  <si>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</si>
  <si>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</si>
  <si>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</si>
  <si>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</si>
  <si>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</si>
  <si>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</si>
  <si>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</si>
  <si>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</si>
  <si>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</si>
  <si>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</si>
  <si>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</si>
  <si>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</si>
  <si>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</si>
  <si>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</si>
  <si>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</si>
  <si>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</si>
  <si>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</si>
  <si>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</si>
  <si>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</si>
  <si>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</si>
  <si>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</si>
  <si>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</si>
  <si>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</si>
  <si>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</si>
  <si>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</si>
  <si>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</si>
  <si>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</si>
  <si>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</si>
  <si>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</si>
  <si>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</si>
  <si>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</si>
  <si>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</si>
  <si>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</si>
  <si>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</si>
  <si>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</si>
  <si>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</si>
  <si>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</si>
  <si>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</si>
  <si>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</si>
  <si>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</si>
  <si>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</si>
  <si>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</si>
  <si>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</si>
  <si>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</si>
  <si>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</si>
  <si>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</si>
  <si>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</si>
  <si>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</si>
  <si>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</si>
  <si>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</si>
  <si>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</si>
  <si>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</si>
  <si>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</si>
  <si>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</si>
  <si>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</si>
  <si>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</si>
  <si>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</si>
  <si>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</si>
  <si>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</si>
  <si>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</si>
  <si>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</si>
  <si>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</si>
  <si>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</si>
  <si>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</si>
  <si>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</si>
  <si>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</si>
  <si>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</si>
  <si>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</si>
  <si>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</si>
  <si>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</si>
  <si>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</si>
  <si>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</si>
  <si>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</si>
  <si>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</si>
  <si>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</si>
  <si>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</si>
  <si>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</si>
  <si>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</si>
  <si>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</si>
  <si>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</si>
  <si>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</si>
  <si>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</si>
  <si>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</si>
  <si>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</si>
  <si>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</si>
  <si>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</si>
  <si>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</si>
  <si>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</si>
  <si>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</si>
  <si>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</si>
  <si>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</si>
  <si>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</si>
  <si>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</si>
  <si>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</si>
  <si>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</si>
  <si>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</si>
  <si>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</si>
  <si>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</si>
  <si>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</si>
  <si>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</si>
  <si>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</si>
  <si>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</si>
  <si>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</si>
  <si>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</si>
  <si>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</si>
  <si>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</si>
  <si>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</si>
  <si>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</si>
  <si>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</si>
  <si>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</si>
  <si>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</si>
  <si>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</si>
  <si>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</si>
  <si>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</si>
  <si>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</si>
  <si>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</si>
  <si>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</si>
  <si>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</si>
  <si>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</si>
  <si>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</si>
  <si>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</si>
  <si>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</si>
  <si>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</si>
  <si>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</si>
  <si>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</si>
  <si>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</si>
  <si>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</si>
  <si>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</si>
  <si>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</si>
  <si>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</si>
  <si>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</si>
  <si>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</si>
  <si>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</si>
  <si>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</si>
  <si>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</si>
  <si>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</si>
  <si>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</si>
  <si>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</si>
  <si>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</si>
  <si>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</si>
  <si>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</si>
  <si>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</si>
  <si>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</si>
  <si>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</si>
  <si>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</si>
  <si>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</si>
  <si>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</si>
  <si>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</si>
  <si>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</si>
  <si>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</si>
  <si>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</si>
  <si>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</si>
  <si>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</si>
  <si>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</si>
  <si>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</si>
  <si>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</si>
  <si>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</si>
  <si>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</si>
  <si>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</si>
  <si>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</si>
  <si>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</si>
  <si>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</si>
  <si>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</si>
  <si>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</si>
  <si>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</si>
  <si>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</si>
  <si>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</si>
  <si>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</si>
  <si>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</si>
  <si>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</si>
  <si>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</si>
  <si>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</si>
  <si>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</si>
  <si>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</si>
  <si>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</si>
  <si>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</si>
  <si>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</si>
  <si>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</si>
  <si>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</si>
  <si>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</si>
  <si>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</si>
  <si>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</si>
  <si>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</si>
  <si>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</si>
  <si>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</si>
  <si>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</si>
  <si>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</si>
  <si>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</si>
  <si>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</si>
  <si>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</si>
  <si>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</si>
  <si>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</si>
  <si>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</si>
  <si>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</si>
  <si>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</si>
  <si>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</si>
  <si>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</si>
  <si>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</si>
  <si>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</si>
  <si>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</si>
  <si>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</si>
  <si>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</si>
  <si>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</si>
  <si>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</si>
  <si>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</si>
  <si>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</si>
  <si>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</si>
  <si>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</si>
  <si>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</si>
  <si>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</si>
  <si>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</si>
  <si>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</si>
  <si>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</si>
  <si>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</si>
  <si>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</si>
  <si>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</si>
  <si>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</si>
  <si>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</si>
  <si>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</si>
  <si>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</si>
  <si>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</si>
  <si>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</si>
  <si>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</si>
  <si>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</si>
  <si>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</si>
  <si>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</si>
  <si>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</si>
  <si>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</si>
  <si>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</si>
  <si>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</si>
  <si>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</si>
  <si>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</si>
  <si>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</si>
  <si>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</si>
  <si>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</si>
  <si>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</si>
  <si>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</si>
  <si>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</si>
  <si>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</si>
  <si>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</si>
  <si>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</si>
  <si>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</si>
  <si>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</si>
  <si>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</si>
  <si>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</si>
  <si>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</si>
  <si>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</si>
  <si>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</si>
  <si>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</si>
  <si>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</si>
  <si>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</si>
  <si>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</si>
  <si>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</si>
  <si>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</si>
  <si>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</si>
  <si>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</si>
  <si>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</si>
  <si>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</si>
  <si>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</si>
  <si>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</si>
  <si>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</si>
  <si>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</si>
  <si>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</si>
  <si>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</si>
  <si>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</si>
  <si>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</si>
  <si>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</si>
  <si>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</si>
  <si>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</si>
  <si>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</si>
  <si>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</si>
  <si>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</si>
  <si>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</si>
  <si>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</si>
  <si>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</si>
  <si>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</si>
  <si>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</si>
  <si>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</si>
  <si>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</si>
  <si>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</si>
  <si>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</si>
  <si>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</si>
  <si>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</si>
  <si>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</si>
  <si>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</si>
  <si>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</si>
  <si>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</si>
  <si>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</si>
  <si>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</si>
  <si>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</si>
  <si>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</si>
  <si>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</si>
  <si>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</si>
  <si>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</si>
  <si>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</si>
  <si>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</si>
  <si>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</si>
  <si>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</si>
  <si>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</si>
  <si>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</si>
  <si>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</si>
  <si>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</si>
  <si>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</si>
  <si>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</si>
  <si>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</si>
  <si>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</si>
  <si>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</si>
  <si>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</si>
  <si>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</si>
  <si>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</si>
  <si>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</si>
  <si>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</si>
  <si>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</si>
  <si>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</si>
  <si>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</si>
  <si>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</si>
  <si>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</si>
  <si>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</si>
  <si>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</si>
  <si>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</si>
  <si>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</si>
  <si>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</si>
  <si>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</si>
  <si>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</si>
  <si>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</si>
  <si>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</si>
  <si>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</si>
  <si>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</si>
  <si>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</si>
  <si>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</si>
  <si>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</si>
  <si>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</si>
  <si>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</si>
  <si>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</si>
  <si>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</si>
  <si>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</si>
  <si>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</si>
  <si>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</si>
  <si>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</si>
  <si>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</si>
  <si>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</si>
  <si>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</si>
  <si>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</si>
  <si>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</si>
  <si>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</si>
  <si>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</si>
  <si>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</si>
  <si>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</si>
  <si>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</si>
  <si>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</si>
  <si>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</si>
  <si>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</si>
  <si>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</si>
  <si>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</si>
  <si>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</si>
  <si>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</si>
  <si>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</si>
  <si>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</si>
  <si>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</si>
  <si>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</si>
  <si>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</si>
  <si>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</si>
  <si>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</si>
  <si>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</si>
  <si>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</si>
  <si>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</si>
  <si>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</si>
  <si>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</si>
  <si>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</si>
  <si>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</si>
  <si>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Профінансовано станом на 13.07.2016</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</si>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</sst>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17">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0" fillId="0" borderId="0" xfId="0" applyNumberFormat="1" applyFont="1" applyFill="1" applyAlignment="1">
      <alignment vertical="center"/>
    </xf>
    <xf numFmtId="0" fontId="4" fillId="0" borderId="10"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0" xfId="0" applyNumberFormat="1" applyFont="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8"/>
  <sheetViews>
    <sheetView tabSelected="1" zoomScale="65" zoomScaleNormal="65"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291" t="s">
        <v>319</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686</v>
      </c>
    </row>
    <row r="3" spans="1:35" ht="93" customHeight="1">
      <c r="A3" s="12"/>
      <c r="B3" s="1" t="s">
        <v>752</v>
      </c>
      <c r="C3" s="1" t="s">
        <v>687</v>
      </c>
      <c r="D3" s="306" t="s">
        <v>316</v>
      </c>
      <c r="E3" s="315" t="s">
        <v>318</v>
      </c>
      <c r="F3" s="311" t="s">
        <v>678</v>
      </c>
      <c r="G3" s="313" t="s">
        <v>685</v>
      </c>
      <c r="H3" s="301" t="s">
        <v>197</v>
      </c>
      <c r="I3" s="301" t="s">
        <v>649</v>
      </c>
      <c r="J3" s="301" t="s">
        <v>313</v>
      </c>
      <c r="K3" s="307" t="s">
        <v>295</v>
      </c>
      <c r="L3" s="307" t="s">
        <v>296</v>
      </c>
      <c r="M3" s="294" t="s">
        <v>393</v>
      </c>
      <c r="N3" s="296" t="s">
        <v>357</v>
      </c>
      <c r="O3" s="298" t="s">
        <v>358</v>
      </c>
      <c r="P3" s="299"/>
      <c r="Q3" s="299"/>
      <c r="R3" s="299"/>
      <c r="S3" s="299"/>
      <c r="T3" s="299"/>
      <c r="U3" s="300"/>
      <c r="V3" s="290" t="s">
        <v>672</v>
      </c>
      <c r="W3" s="309" t="s">
        <v>359</v>
      </c>
      <c r="X3" s="290" t="s">
        <v>360</v>
      </c>
      <c r="Y3" s="290" t="s">
        <v>361</v>
      </c>
      <c r="Z3" s="290" t="s">
        <v>362</v>
      </c>
      <c r="AA3" s="290" t="s">
        <v>370</v>
      </c>
      <c r="AB3" s="290" t="s">
        <v>363</v>
      </c>
      <c r="AC3" s="290" t="s">
        <v>364</v>
      </c>
      <c r="AD3" s="290" t="s">
        <v>365</v>
      </c>
      <c r="AE3" s="290" t="s">
        <v>366</v>
      </c>
      <c r="AF3" s="290" t="s">
        <v>367</v>
      </c>
      <c r="AG3" s="290" t="s">
        <v>368</v>
      </c>
      <c r="AH3" s="290" t="s">
        <v>369</v>
      </c>
      <c r="AI3" s="290" t="s">
        <v>497</v>
      </c>
    </row>
    <row r="4" spans="1:35" ht="63">
      <c r="A4" s="12"/>
      <c r="B4" s="1"/>
      <c r="C4" s="32"/>
      <c r="D4" s="306"/>
      <c r="E4" s="315"/>
      <c r="F4" s="312"/>
      <c r="G4" s="314"/>
      <c r="H4" s="302"/>
      <c r="I4" s="302"/>
      <c r="J4" s="302"/>
      <c r="K4" s="308"/>
      <c r="L4" s="308"/>
      <c r="M4" s="295"/>
      <c r="N4" s="297"/>
      <c r="O4" s="33" t="s">
        <v>57</v>
      </c>
      <c r="P4" s="33" t="s">
        <v>60</v>
      </c>
      <c r="Q4" s="33" t="s">
        <v>247</v>
      </c>
      <c r="R4" s="33" t="s">
        <v>783</v>
      </c>
      <c r="S4" s="33" t="s">
        <v>569</v>
      </c>
      <c r="T4" s="33" t="s">
        <v>711</v>
      </c>
      <c r="U4" s="33"/>
      <c r="V4" s="290"/>
      <c r="W4" s="310"/>
      <c r="X4" s="290"/>
      <c r="Y4" s="290"/>
      <c r="Z4" s="290"/>
      <c r="AA4" s="290"/>
      <c r="AB4" s="290"/>
      <c r="AC4" s="290"/>
      <c r="AD4" s="290"/>
      <c r="AE4" s="290"/>
      <c r="AF4" s="290"/>
      <c r="AG4" s="290"/>
      <c r="AH4" s="290"/>
      <c r="AI4" s="290"/>
    </row>
    <row r="5" spans="1:37" s="14" customFormat="1" ht="56.25">
      <c r="A5" s="13"/>
      <c r="B5" s="25" t="s">
        <v>757</v>
      </c>
      <c r="C5" s="8"/>
      <c r="D5" s="75"/>
      <c r="E5" s="76"/>
      <c r="F5" s="77" t="s">
        <v>750</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755305.83</v>
      </c>
      <c r="AK5" s="268"/>
    </row>
    <row r="6" spans="1:37" s="14" customFormat="1" ht="18.75">
      <c r="A6" s="13"/>
      <c r="B6" s="25"/>
      <c r="C6" s="25"/>
      <c r="D6" s="292" t="s">
        <v>335</v>
      </c>
      <c r="E6" s="292" t="s">
        <v>317</v>
      </c>
      <c r="F6" s="303" t="s">
        <v>336</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420031.11</v>
      </c>
      <c r="AK6" s="268"/>
    </row>
    <row r="7" spans="1:37" s="14" customFormat="1" ht="75">
      <c r="A7" s="13"/>
      <c r="B7" s="38"/>
      <c r="C7" s="38"/>
      <c r="D7" s="293"/>
      <c r="E7" s="293"/>
      <c r="F7" s="304"/>
      <c r="G7" s="88" t="s">
        <v>432</v>
      </c>
      <c r="H7" s="86"/>
      <c r="I7" s="89"/>
      <c r="J7" s="90"/>
      <c r="K7" s="86"/>
      <c r="L7" s="86"/>
      <c r="M7" s="86"/>
      <c r="N7" s="91">
        <v>3110</v>
      </c>
      <c r="O7" s="86"/>
      <c r="P7" s="86"/>
      <c r="Q7" s="46">
        <f>400000+100000</f>
        <v>500000</v>
      </c>
      <c r="R7" s="46"/>
      <c r="S7" s="251" t="s">
        <v>433</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c r="AK7" s="268"/>
    </row>
    <row r="8" spans="1:37" s="14" customFormat="1" ht="93.75">
      <c r="A8" s="13"/>
      <c r="B8" s="38"/>
      <c r="C8" s="38"/>
      <c r="D8" s="293"/>
      <c r="E8" s="293"/>
      <c r="F8" s="304"/>
      <c r="G8" s="88" t="s">
        <v>61</v>
      </c>
      <c r="H8" s="86"/>
      <c r="I8" s="89"/>
      <c r="J8" s="90"/>
      <c r="K8" s="86"/>
      <c r="L8" s="86"/>
      <c r="M8" s="86"/>
      <c r="N8" s="91">
        <v>3110</v>
      </c>
      <c r="O8" s="86"/>
      <c r="P8" s="86"/>
      <c r="Q8" s="46">
        <v>200000</v>
      </c>
      <c r="R8" s="46"/>
      <c r="S8" s="46"/>
      <c r="T8" s="46"/>
      <c r="U8" s="46"/>
      <c r="V8" s="46">
        <v>200000</v>
      </c>
      <c r="W8" s="46"/>
      <c r="X8" s="46"/>
      <c r="Y8" s="46"/>
      <c r="Z8" s="46"/>
      <c r="AA8" s="46"/>
      <c r="AB8" s="46"/>
      <c r="AC8" s="46">
        <f>200000-30000</f>
        <v>170000</v>
      </c>
      <c r="AD8" s="46"/>
      <c r="AE8" s="46"/>
      <c r="AF8" s="46"/>
      <c r="AG8" s="46"/>
      <c r="AH8" s="46">
        <v>30000</v>
      </c>
      <c r="AI8" s="46"/>
      <c r="AK8" s="268"/>
    </row>
    <row r="9" spans="1:37" s="14" customFormat="1" ht="56.25">
      <c r="A9" s="13"/>
      <c r="B9" s="38"/>
      <c r="C9" s="38"/>
      <c r="D9" s="293"/>
      <c r="E9" s="293"/>
      <c r="F9" s="304"/>
      <c r="G9" s="88" t="s">
        <v>62</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c r="AK9" s="268"/>
    </row>
    <row r="10" spans="1:37" s="14" customFormat="1" ht="93.75">
      <c r="A10" s="13"/>
      <c r="B10" s="38"/>
      <c r="C10" s="38"/>
      <c r="D10" s="293"/>
      <c r="E10" s="293"/>
      <c r="F10" s="304"/>
      <c r="G10" s="88" t="s">
        <v>63</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c r="AK10" s="268"/>
    </row>
    <row r="11" spans="1:37" s="14" customFormat="1" ht="75">
      <c r="A11" s="13"/>
      <c r="B11" s="38"/>
      <c r="C11" s="38"/>
      <c r="D11" s="293"/>
      <c r="E11" s="293"/>
      <c r="F11" s="304"/>
      <c r="G11" s="88" t="s">
        <v>64</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c r="AK11" s="268"/>
    </row>
    <row r="12" spans="1:37" s="14" customFormat="1" ht="37.5">
      <c r="A12" s="13"/>
      <c r="B12" s="38"/>
      <c r="C12" s="38"/>
      <c r="D12" s="293"/>
      <c r="E12" s="293"/>
      <c r="F12" s="304"/>
      <c r="G12" s="88" t="s">
        <v>734</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c r="AK12" s="268"/>
    </row>
    <row r="13" spans="1:37" s="14" customFormat="1" ht="56.25">
      <c r="A13" s="13"/>
      <c r="B13" s="38"/>
      <c r="C13" s="38"/>
      <c r="D13" s="293"/>
      <c r="E13" s="293"/>
      <c r="F13" s="304"/>
      <c r="G13" s="88" t="s">
        <v>431</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v>30000</v>
      </c>
      <c r="AD13" s="46"/>
      <c r="AE13" s="46"/>
      <c r="AF13" s="46"/>
      <c r="AG13" s="46">
        <f>300000-300000+50500-28000</f>
        <v>22500</v>
      </c>
      <c r="AH13" s="46">
        <f>360132-125132-42200-30000</f>
        <v>162800</v>
      </c>
      <c r="AI13" s="46">
        <f>70035+29906</f>
        <v>99941</v>
      </c>
      <c r="AK13" s="268"/>
    </row>
    <row r="14" spans="1:37" s="14" customFormat="1" ht="112.5">
      <c r="A14" s="13"/>
      <c r="B14" s="38"/>
      <c r="C14" s="38"/>
      <c r="D14" s="293"/>
      <c r="E14" s="293"/>
      <c r="F14" s="304"/>
      <c r="G14" s="88" t="s">
        <v>65</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c r="AK14" s="268"/>
    </row>
    <row r="15" spans="1:37" s="14" customFormat="1" ht="93.75">
      <c r="A15" s="13"/>
      <c r="B15" s="38"/>
      <c r="C15" s="38"/>
      <c r="D15" s="293"/>
      <c r="E15" s="293"/>
      <c r="F15" s="304"/>
      <c r="G15" s="52" t="s">
        <v>66</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c r="AK15" s="268"/>
    </row>
    <row r="16" spans="1:37" s="14" customFormat="1" ht="54" hidden="1">
      <c r="A16" s="13"/>
      <c r="B16" s="38"/>
      <c r="C16" s="38"/>
      <c r="D16" s="293"/>
      <c r="E16" s="293"/>
      <c r="F16" s="304"/>
      <c r="G16" s="52" t="s">
        <v>400</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c r="AK16" s="268"/>
    </row>
    <row r="17" spans="1:37" s="14" customFormat="1" ht="150">
      <c r="A17" s="13"/>
      <c r="B17" s="38"/>
      <c r="C17" s="38"/>
      <c r="D17" s="293"/>
      <c r="E17" s="293"/>
      <c r="F17" s="304"/>
      <c r="G17" s="52" t="s">
        <v>691</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c r="AK17" s="268"/>
    </row>
    <row r="18" spans="1:37" s="14" customFormat="1" ht="75">
      <c r="A18" s="13"/>
      <c r="B18" s="38"/>
      <c r="C18" s="38"/>
      <c r="D18" s="293"/>
      <c r="E18" s="293"/>
      <c r="F18" s="304"/>
      <c r="G18" s="52" t="s">
        <v>692</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c r="AK18" s="268"/>
    </row>
    <row r="19" spans="1:37" s="14" customFormat="1" ht="75">
      <c r="A19" s="13"/>
      <c r="B19" s="38"/>
      <c r="C19" s="38"/>
      <c r="D19" s="293"/>
      <c r="E19" s="293"/>
      <c r="F19" s="304"/>
      <c r="G19" s="52" t="s">
        <v>693</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c r="AK19" s="268"/>
    </row>
    <row r="20" spans="1:37" s="14" customFormat="1" ht="75">
      <c r="A20" s="13"/>
      <c r="B20" s="38"/>
      <c r="C20" s="38"/>
      <c r="D20" s="293"/>
      <c r="E20" s="293"/>
      <c r="F20" s="304"/>
      <c r="G20" s="52" t="s">
        <v>694</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c r="AK20" s="268"/>
    </row>
    <row r="21" spans="1:37" s="14" customFormat="1" ht="75">
      <c r="A21" s="13"/>
      <c r="B21" s="38"/>
      <c r="C21" s="38"/>
      <c r="D21" s="293"/>
      <c r="E21" s="293"/>
      <c r="F21" s="304"/>
      <c r="G21" s="250" t="s">
        <v>712</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c r="AK21" s="268"/>
    </row>
    <row r="22" spans="1:37" s="14" customFormat="1" ht="108" hidden="1">
      <c r="A22" s="13"/>
      <c r="B22" s="38"/>
      <c r="C22" s="38"/>
      <c r="D22" s="293"/>
      <c r="E22" s="293"/>
      <c r="F22" s="304"/>
      <c r="G22" s="250" t="s">
        <v>570</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c r="AK22" s="268"/>
    </row>
    <row r="23" spans="1:37" s="14" customFormat="1" ht="18.75">
      <c r="A23" s="13"/>
      <c r="B23" s="38"/>
      <c r="C23" s="249"/>
      <c r="D23" s="305" t="s">
        <v>314</v>
      </c>
      <c r="E23" s="305" t="s">
        <v>15</v>
      </c>
      <c r="F23" s="316" t="s">
        <v>291</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c r="AK23" s="268"/>
    </row>
    <row r="24" spans="1:37" s="14" customFormat="1" ht="150">
      <c r="A24" s="13"/>
      <c r="B24" s="38"/>
      <c r="C24" s="249"/>
      <c r="D24" s="305"/>
      <c r="E24" s="305"/>
      <c r="F24" s="316"/>
      <c r="G24" s="52" t="s">
        <v>16</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c r="AK24" s="268"/>
    </row>
    <row r="25" spans="1:37" s="14" customFormat="1" ht="18.75">
      <c r="A25" s="13"/>
      <c r="B25" s="25"/>
      <c r="C25" s="26"/>
      <c r="D25" s="292" t="s">
        <v>337</v>
      </c>
      <c r="E25" s="292" t="s">
        <v>280</v>
      </c>
      <c r="F25" s="303" t="s">
        <v>349</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c r="AK25" s="268"/>
    </row>
    <row r="26" spans="1:37" s="14" customFormat="1" ht="131.25">
      <c r="A26" s="13"/>
      <c r="B26" s="25"/>
      <c r="C26" s="26"/>
      <c r="D26" s="293"/>
      <c r="E26" s="293"/>
      <c r="F26" s="304"/>
      <c r="G26" s="95" t="s">
        <v>67</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c r="AK26" s="268"/>
    </row>
    <row r="27" spans="1:37" s="14" customFormat="1" ht="131.25">
      <c r="A27" s="13"/>
      <c r="B27" s="25"/>
      <c r="C27" s="26"/>
      <c r="D27" s="293"/>
      <c r="E27" s="293"/>
      <c r="F27" s="304"/>
      <c r="G27" s="95" t="s">
        <v>571</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c r="AK27" s="268"/>
    </row>
    <row r="28" spans="1:37" s="14" customFormat="1" ht="56.25">
      <c r="A28" s="13"/>
      <c r="B28" s="25"/>
      <c r="C28" s="26"/>
      <c r="D28" s="97"/>
      <c r="E28" s="97"/>
      <c r="F28" s="98" t="s">
        <v>673</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c r="AK28" s="268"/>
    </row>
    <row r="29" spans="1:37" s="14" customFormat="1" ht="18.75">
      <c r="A29" s="13"/>
      <c r="B29" s="25"/>
      <c r="C29" s="26"/>
      <c r="D29" s="292" t="s">
        <v>335</v>
      </c>
      <c r="E29" s="292" t="s">
        <v>317</v>
      </c>
      <c r="F29" s="303" t="s">
        <v>336</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c r="AK29" s="268"/>
    </row>
    <row r="30" spans="1:37" s="14" customFormat="1" ht="37.5">
      <c r="A30" s="13"/>
      <c r="B30" s="25"/>
      <c r="C30" s="26"/>
      <c r="D30" s="293"/>
      <c r="E30" s="293"/>
      <c r="F30" s="304"/>
      <c r="G30" s="94" t="s">
        <v>695</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c r="AK30" s="268"/>
    </row>
    <row r="31" spans="1:37" s="14" customFormat="1" ht="37.5">
      <c r="A31" s="13"/>
      <c r="B31" s="25"/>
      <c r="C31" s="26"/>
      <c r="D31" s="293"/>
      <c r="E31" s="293"/>
      <c r="F31" s="304"/>
      <c r="G31" s="94" t="s">
        <v>696</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c r="AK31" s="268"/>
    </row>
    <row r="32" spans="2:37" ht="56.25">
      <c r="B32" s="24">
        <v>1500000</v>
      </c>
      <c r="C32" s="9"/>
      <c r="D32" s="102"/>
      <c r="E32" s="103"/>
      <c r="F32" s="77" t="s">
        <v>641</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27675612.639999997</v>
      </c>
      <c r="AK32" s="268"/>
    </row>
    <row r="33" spans="2:37" ht="18.75">
      <c r="B33" s="19"/>
      <c r="C33" s="9"/>
      <c r="D33" s="292" t="s">
        <v>335</v>
      </c>
      <c r="E33" s="292" t="s">
        <v>317</v>
      </c>
      <c r="F33" s="303" t="s">
        <v>336</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8"/>
    </row>
    <row r="34" spans="2:37" ht="37.5">
      <c r="B34" s="19"/>
      <c r="C34" s="9"/>
      <c r="D34" s="293"/>
      <c r="E34" s="293"/>
      <c r="F34" s="304"/>
      <c r="G34" s="108" t="s">
        <v>697</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8"/>
    </row>
    <row r="35" spans="2:37" ht="75">
      <c r="B35" s="19"/>
      <c r="C35" s="9"/>
      <c r="D35" s="293"/>
      <c r="E35" s="293"/>
      <c r="F35" s="304"/>
      <c r="G35" s="108" t="s">
        <v>698</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8"/>
    </row>
    <row r="36" spans="2:37" ht="93.75">
      <c r="B36" s="19"/>
      <c r="C36" s="9"/>
      <c r="D36" s="293"/>
      <c r="E36" s="293"/>
      <c r="F36" s="304"/>
      <c r="G36" s="108" t="s">
        <v>699</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8"/>
    </row>
    <row r="37" spans="2:37" ht="56.25">
      <c r="B37" s="19"/>
      <c r="C37" s="9"/>
      <c r="D37" s="293"/>
      <c r="E37" s="293"/>
      <c r="F37" s="304"/>
      <c r="G37" s="108" t="s">
        <v>700</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8"/>
    </row>
    <row r="38" spans="2:37" ht="75">
      <c r="B38" s="19"/>
      <c r="C38" s="9"/>
      <c r="D38" s="293"/>
      <c r="E38" s="293"/>
      <c r="F38" s="304"/>
      <c r="G38" s="108" t="s">
        <v>701</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8"/>
    </row>
    <row r="39" spans="2:37" ht="37.5">
      <c r="B39" s="19"/>
      <c r="C39" s="9"/>
      <c r="D39" s="293"/>
      <c r="E39" s="293"/>
      <c r="F39" s="304"/>
      <c r="G39" s="108" t="s">
        <v>702</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8"/>
    </row>
    <row r="40" spans="2:37" ht="18.75">
      <c r="B40" s="24"/>
      <c r="C40" s="24"/>
      <c r="D40" s="274" t="s">
        <v>338</v>
      </c>
      <c r="E40" s="274" t="s">
        <v>320</v>
      </c>
      <c r="F40" s="271" t="s">
        <v>261</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3330153</v>
      </c>
      <c r="AC40" s="49">
        <f t="shared" si="15"/>
        <v>4625529.05</v>
      </c>
      <c r="AD40" s="49">
        <f t="shared" si="15"/>
        <v>4507418.7</v>
      </c>
      <c r="AE40" s="49">
        <f t="shared" si="15"/>
        <v>1131321.49</v>
      </c>
      <c r="AF40" s="49">
        <f t="shared" si="15"/>
        <v>4752313.91</v>
      </c>
      <c r="AG40" s="49">
        <f t="shared" si="15"/>
        <v>2933351.51</v>
      </c>
      <c r="AH40" s="49">
        <f t="shared" si="15"/>
        <v>1039776.6</v>
      </c>
      <c r="AI40" s="49">
        <f t="shared" si="15"/>
        <v>15492671.219999999</v>
      </c>
      <c r="AK40" s="268"/>
    </row>
    <row r="41" spans="2:37" ht="37.5">
      <c r="B41" s="24"/>
      <c r="C41" s="24"/>
      <c r="D41" s="275"/>
      <c r="E41" s="275"/>
      <c r="F41" s="272"/>
      <c r="G41" s="108" t="s">
        <v>703</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8"/>
    </row>
    <row r="42" spans="2:37" ht="37.5">
      <c r="B42" s="24"/>
      <c r="C42" s="24"/>
      <c r="D42" s="275"/>
      <c r="E42" s="275"/>
      <c r="F42" s="272"/>
      <c r="G42" s="108" t="s">
        <v>704</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8"/>
    </row>
    <row r="43" spans="2:37" ht="37.5">
      <c r="B43" s="24"/>
      <c r="C43" s="24"/>
      <c r="D43" s="275"/>
      <c r="E43" s="275"/>
      <c r="F43" s="272"/>
      <c r="G43" s="108" t="s">
        <v>501</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8"/>
    </row>
    <row r="44" spans="2:37" ht="75">
      <c r="B44" s="24"/>
      <c r="C44" s="24"/>
      <c r="D44" s="275"/>
      <c r="E44" s="275"/>
      <c r="F44" s="272"/>
      <c r="G44" s="108" t="s">
        <v>502</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v>1500</v>
      </c>
      <c r="AD44" s="42">
        <f>145000+135000</f>
        <v>280000</v>
      </c>
      <c r="AE44" s="243"/>
      <c r="AF44" s="42">
        <f>70000-1500</f>
        <v>68500</v>
      </c>
      <c r="AG44" s="42"/>
      <c r="AH44" s="42"/>
      <c r="AI44" s="242">
        <v>1303.2</v>
      </c>
      <c r="AK44" s="268"/>
    </row>
    <row r="45" spans="2:37" ht="56.25">
      <c r="B45" s="24"/>
      <c r="C45" s="24"/>
      <c r="D45" s="275"/>
      <c r="E45" s="275"/>
      <c r="F45" s="272"/>
      <c r="G45" s="108" t="s">
        <v>37</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f>4000-1500</f>
        <v>2500</v>
      </c>
      <c r="AD45" s="42">
        <f>100000-100000</f>
        <v>0</v>
      </c>
      <c r="AE45" s="42"/>
      <c r="AF45" s="42">
        <v>1500</v>
      </c>
      <c r="AG45" s="42"/>
      <c r="AH45" s="42"/>
      <c r="AI45" s="242">
        <f>95844</f>
        <v>95844</v>
      </c>
      <c r="AK45" s="268"/>
    </row>
    <row r="46" spans="2:37" ht="37.5">
      <c r="B46" s="24"/>
      <c r="C46" s="24"/>
      <c r="D46" s="275"/>
      <c r="E46" s="275"/>
      <c r="F46" s="272"/>
      <c r="G46" s="108" t="s">
        <v>403</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8"/>
    </row>
    <row r="47" spans="2:37" ht="37.5">
      <c r="B47" s="24"/>
      <c r="C47" s="24"/>
      <c r="D47" s="275"/>
      <c r="E47" s="275"/>
      <c r="F47" s="272"/>
      <c r="G47" s="108" t="s">
        <v>404</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v>110000</v>
      </c>
      <c r="AD47" s="42"/>
      <c r="AE47" s="42">
        <f>250000-110000</f>
        <v>140000</v>
      </c>
      <c r="AF47" s="42"/>
      <c r="AG47" s="42"/>
      <c r="AH47" s="42">
        <v>165000</v>
      </c>
      <c r="AI47" s="242">
        <f>1050+293264</f>
        <v>294314</v>
      </c>
      <c r="AK47" s="268"/>
    </row>
    <row r="48" spans="2:37" ht="56.25">
      <c r="B48" s="24"/>
      <c r="C48" s="24"/>
      <c r="D48" s="275"/>
      <c r="E48" s="275"/>
      <c r="F48" s="272"/>
      <c r="G48" s="108" t="s">
        <v>802</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c r="AD48" s="42">
        <f>95000+70000</f>
        <v>165000</v>
      </c>
      <c r="AE48" s="42"/>
      <c r="AF48" s="42"/>
      <c r="AG48" s="42"/>
      <c r="AH48" s="42"/>
      <c r="AI48" s="242"/>
      <c r="AK48" s="268"/>
    </row>
    <row r="49" spans="2:37" ht="37.5">
      <c r="B49" s="24"/>
      <c r="C49" s="24"/>
      <c r="D49" s="275"/>
      <c r="E49" s="275"/>
      <c r="F49" s="272"/>
      <c r="G49" s="108" t="s">
        <v>803</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8"/>
    </row>
    <row r="50" spans="2:37" ht="37.5">
      <c r="B50" s="24"/>
      <c r="C50" s="24"/>
      <c r="D50" s="275"/>
      <c r="E50" s="275"/>
      <c r="F50" s="272"/>
      <c r="G50" s="108" t="s">
        <v>804</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f>40000-40000</f>
        <v>0</v>
      </c>
      <c r="AD50" s="42"/>
      <c r="AE50" s="42">
        <v>30000</v>
      </c>
      <c r="AF50" s="42">
        <f>20000+40000</f>
        <v>60000</v>
      </c>
      <c r="AG50" s="42"/>
      <c r="AH50" s="42"/>
      <c r="AI50" s="242"/>
      <c r="AK50" s="268"/>
    </row>
    <row r="51" spans="2:37" ht="37.5">
      <c r="B51" s="24"/>
      <c r="C51" s="24"/>
      <c r="D51" s="275"/>
      <c r="E51" s="275"/>
      <c r="F51" s="272"/>
      <c r="G51" s="108" t="s">
        <v>182</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4080+81491</f>
        <v>85571</v>
      </c>
      <c r="AK51" s="268"/>
    </row>
    <row r="52" spans="2:37" ht="56.25">
      <c r="B52" s="24"/>
      <c r="C52" s="24"/>
      <c r="D52" s="275"/>
      <c r="E52" s="275"/>
      <c r="F52" s="272"/>
      <c r="G52" s="108" t="s">
        <v>805</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8"/>
    </row>
    <row r="53" spans="2:37" ht="112.5">
      <c r="B53" s="24"/>
      <c r="C53" s="24"/>
      <c r="D53" s="275"/>
      <c r="E53" s="275"/>
      <c r="F53" s="272"/>
      <c r="G53" s="108" t="s">
        <v>33</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v>-10000</v>
      </c>
      <c r="AD53" s="42"/>
      <c r="AE53" s="42">
        <v>10000</v>
      </c>
      <c r="AF53" s="42"/>
      <c r="AG53" s="42"/>
      <c r="AH53" s="42"/>
      <c r="AI53" s="242">
        <v>11109.6</v>
      </c>
      <c r="AK53" s="268"/>
    </row>
    <row r="54" spans="2:37" ht="37.5">
      <c r="B54" s="24"/>
      <c r="C54" s="24"/>
      <c r="D54" s="275"/>
      <c r="E54" s="275"/>
      <c r="F54" s="272"/>
      <c r="G54" s="108" t="s">
        <v>34</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v>1500</v>
      </c>
      <c r="AD54" s="42">
        <f>180000-25000-110000</f>
        <v>45000</v>
      </c>
      <c r="AE54" s="42">
        <f>100000-100000</f>
        <v>0</v>
      </c>
      <c r="AF54" s="42">
        <v>200000</v>
      </c>
      <c r="AG54" s="42"/>
      <c r="AH54" s="42"/>
      <c r="AI54" s="242">
        <f>25000+228229.5</f>
        <v>253229.5</v>
      </c>
      <c r="AK54" s="268"/>
    </row>
    <row r="55" spans="2:37" ht="56.25">
      <c r="B55" s="24"/>
      <c r="C55" s="24"/>
      <c r="D55" s="275"/>
      <c r="E55" s="275"/>
      <c r="F55" s="272"/>
      <c r="G55" s="108" t="s">
        <v>35</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8"/>
    </row>
    <row r="56" spans="2:37" ht="37.5">
      <c r="B56" s="24"/>
      <c r="C56" s="24"/>
      <c r="D56" s="275"/>
      <c r="E56" s="275"/>
      <c r="F56" s="272"/>
      <c r="G56" s="108" t="s">
        <v>36</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8"/>
    </row>
    <row r="57" spans="2:37" ht="37.5">
      <c r="B57" s="24"/>
      <c r="C57" s="24"/>
      <c r="D57" s="275"/>
      <c r="E57" s="275"/>
      <c r="F57" s="272"/>
      <c r="G57" s="108" t="s">
        <v>799</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v>122523.5</v>
      </c>
      <c r="AK57" s="268"/>
    </row>
    <row r="58" spans="2:37" ht="56.25">
      <c r="B58" s="24"/>
      <c r="C58" s="24"/>
      <c r="D58" s="275"/>
      <c r="E58" s="275"/>
      <c r="F58" s="272"/>
      <c r="G58" s="108" t="s">
        <v>800</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f>
        <v>73000</v>
      </c>
      <c r="AD58" s="42">
        <v>70000</v>
      </c>
      <c r="AE58" s="42"/>
      <c r="AF58" s="42"/>
      <c r="AG58" s="42"/>
      <c r="AH58" s="42"/>
      <c r="AI58" s="242">
        <f>7000</f>
        <v>7000</v>
      </c>
      <c r="AK58" s="268"/>
    </row>
    <row r="59" spans="2:37" ht="93.75">
      <c r="B59" s="24"/>
      <c r="C59" s="24"/>
      <c r="D59" s="275"/>
      <c r="E59" s="275"/>
      <c r="F59" s="272"/>
      <c r="G59" s="108" t="s">
        <v>801</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f>45000-40000</f>
        <v>5000</v>
      </c>
      <c r="AD59" s="42">
        <f>130000+40000</f>
        <v>170000</v>
      </c>
      <c r="AE59" s="42"/>
      <c r="AF59" s="42">
        <v>220000</v>
      </c>
      <c r="AG59" s="42">
        <v>105000</v>
      </c>
      <c r="AH59" s="42"/>
      <c r="AI59" s="242"/>
      <c r="AK59" s="268"/>
    </row>
    <row r="60" spans="2:37" ht="37.5">
      <c r="B60" s="24"/>
      <c r="C60" s="24"/>
      <c r="D60" s="275"/>
      <c r="E60" s="275"/>
      <c r="F60" s="272"/>
      <c r="G60" s="108" t="s">
        <v>498</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8"/>
    </row>
    <row r="61" spans="2:37" ht="56.25">
      <c r="B61" s="24"/>
      <c r="C61" s="24"/>
      <c r="D61" s="275"/>
      <c r="E61" s="275"/>
      <c r="F61" s="272"/>
      <c r="G61" s="108" t="s">
        <v>499</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8"/>
    </row>
    <row r="62" spans="2:37" ht="56.25">
      <c r="B62" s="24"/>
      <c r="C62" s="24"/>
      <c r="D62" s="275"/>
      <c r="E62" s="275"/>
      <c r="F62" s="272"/>
      <c r="G62" s="108" t="s">
        <v>500</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v>3230</v>
      </c>
      <c r="AK62" s="268"/>
    </row>
    <row r="63" spans="2:37" ht="75">
      <c r="B63" s="24"/>
      <c r="C63" s="24"/>
      <c r="D63" s="275"/>
      <c r="E63" s="275"/>
      <c r="F63" s="272"/>
      <c r="G63" s="108" t="s">
        <v>787</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8"/>
    </row>
    <row r="64" spans="2:37" ht="37.5">
      <c r="B64" s="24"/>
      <c r="C64" s="24"/>
      <c r="D64" s="275"/>
      <c r="E64" s="275"/>
      <c r="F64" s="272"/>
      <c r="G64" s="108" t="s">
        <v>788</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8"/>
    </row>
    <row r="65" spans="2:37" ht="56.25">
      <c r="B65" s="24"/>
      <c r="C65" s="24"/>
      <c r="D65" s="275"/>
      <c r="E65" s="275"/>
      <c r="F65" s="272"/>
      <c r="G65" s="108" t="s">
        <v>789</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8"/>
    </row>
    <row r="66" spans="2:37" ht="75">
      <c r="B66" s="24"/>
      <c r="C66" s="24"/>
      <c r="D66" s="275"/>
      <c r="E66" s="275"/>
      <c r="F66" s="272"/>
      <c r="G66" s="108" t="s">
        <v>518</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8"/>
    </row>
    <row r="67" spans="2:37" ht="56.25">
      <c r="B67" s="24"/>
      <c r="C67" s="24"/>
      <c r="D67" s="275"/>
      <c r="E67" s="275"/>
      <c r="F67" s="272"/>
      <c r="G67" s="108" t="s">
        <v>519</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8"/>
    </row>
    <row r="68" spans="2:37" ht="56.25">
      <c r="B68" s="24"/>
      <c r="C68" s="24"/>
      <c r="D68" s="275"/>
      <c r="E68" s="275"/>
      <c r="F68" s="272"/>
      <c r="G68" s="108" t="s">
        <v>611</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8"/>
    </row>
    <row r="69" spans="2:37" ht="37.5">
      <c r="B69" s="24"/>
      <c r="C69" s="24"/>
      <c r="D69" s="275"/>
      <c r="E69" s="275"/>
      <c r="F69" s="272"/>
      <c r="G69" s="108" t="s">
        <v>520</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8"/>
    </row>
    <row r="70" spans="2:37" ht="56.25">
      <c r="B70" s="24"/>
      <c r="C70" s="24"/>
      <c r="D70" s="275"/>
      <c r="E70" s="275"/>
      <c r="F70" s="272"/>
      <c r="G70" s="108" t="s">
        <v>521</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f>85000-83000</f>
        <v>2000</v>
      </c>
      <c r="AD70" s="42">
        <f>50000+83000</f>
        <v>133000</v>
      </c>
      <c r="AE70" s="42"/>
      <c r="AF70" s="42"/>
      <c r="AG70" s="42">
        <v>15000</v>
      </c>
      <c r="AH70" s="42"/>
      <c r="AI70" s="242"/>
      <c r="AK70" s="268"/>
    </row>
    <row r="71" spans="2:37" ht="37.5">
      <c r="B71" s="24"/>
      <c r="C71" s="24"/>
      <c r="D71" s="275"/>
      <c r="E71" s="275"/>
      <c r="F71" s="272"/>
      <c r="G71" s="108" t="s">
        <v>522</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8"/>
    </row>
    <row r="72" spans="2:37" ht="56.25">
      <c r="B72" s="24"/>
      <c r="C72" s="24"/>
      <c r="D72" s="275"/>
      <c r="E72" s="275"/>
      <c r="F72" s="272"/>
      <c r="G72" s="108" t="s">
        <v>523</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8"/>
    </row>
    <row r="73" spans="2:37" ht="56.25">
      <c r="B73" s="24"/>
      <c r="C73" s="24"/>
      <c r="D73" s="275"/>
      <c r="E73" s="275"/>
      <c r="F73" s="272"/>
      <c r="G73" s="108" t="s">
        <v>524</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8"/>
    </row>
    <row r="74" spans="2:37" ht="37.5">
      <c r="B74" s="24"/>
      <c r="C74" s="24"/>
      <c r="D74" s="275"/>
      <c r="E74" s="275"/>
      <c r="F74" s="272"/>
      <c r="G74" s="108" t="s">
        <v>525</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8"/>
    </row>
    <row r="75" spans="2:37" ht="37.5">
      <c r="B75" s="24"/>
      <c r="C75" s="24"/>
      <c r="D75" s="275"/>
      <c r="E75" s="275"/>
      <c r="F75" s="272"/>
      <c r="G75" s="108" t="s">
        <v>526</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8"/>
    </row>
    <row r="76" spans="2:37" ht="56.25">
      <c r="B76" s="24"/>
      <c r="C76" s="24"/>
      <c r="D76" s="275"/>
      <c r="E76" s="275"/>
      <c r="F76" s="272"/>
      <c r="G76" s="108" t="s">
        <v>527</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50000+80000-111000</f>
        <v>19000</v>
      </c>
      <c r="AD76" s="42">
        <v>50000</v>
      </c>
      <c r="AE76" s="42"/>
      <c r="AF76" s="42">
        <v>111000</v>
      </c>
      <c r="AG76" s="42"/>
      <c r="AH76" s="42"/>
      <c r="AI76" s="242"/>
      <c r="AK76" s="268"/>
    </row>
    <row r="77" spans="2:37" ht="37.5">
      <c r="B77" s="24"/>
      <c r="C77" s="24"/>
      <c r="D77" s="275"/>
      <c r="E77" s="275"/>
      <c r="F77" s="272"/>
      <c r="G77" s="108" t="s">
        <v>528</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v>-5000</v>
      </c>
      <c r="AD77" s="42">
        <f>235000-235000+5000</f>
        <v>5000</v>
      </c>
      <c r="AE77" s="42"/>
      <c r="AF77" s="42">
        <f>150000-90000</f>
        <v>60000</v>
      </c>
      <c r="AG77" s="42">
        <f>100000+18855.5</f>
        <v>118855.5</v>
      </c>
      <c r="AH77" s="42"/>
      <c r="AI77" s="242">
        <f>6206+408300.73</f>
        <v>414506.73</v>
      </c>
      <c r="AK77" s="268"/>
    </row>
    <row r="78" spans="2:37" ht="56.25">
      <c r="B78" s="24"/>
      <c r="C78" s="24"/>
      <c r="D78" s="275"/>
      <c r="E78" s="275"/>
      <c r="F78" s="272"/>
      <c r="G78" s="108" t="s">
        <v>529</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v>40000</v>
      </c>
      <c r="AD78" s="42">
        <f>40000-40000</f>
        <v>0</v>
      </c>
      <c r="AE78" s="42"/>
      <c r="AF78" s="42">
        <f>80000-5000</f>
        <v>75000</v>
      </c>
      <c r="AG78" s="42"/>
      <c r="AH78" s="42"/>
      <c r="AI78" s="242"/>
      <c r="AK78" s="268"/>
    </row>
    <row r="79" spans="2:37" ht="56.25">
      <c r="B79" s="24"/>
      <c r="C79" s="24"/>
      <c r="D79" s="275"/>
      <c r="E79" s="275"/>
      <c r="F79" s="272"/>
      <c r="G79" s="108" t="s">
        <v>530</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8"/>
    </row>
    <row r="80" spans="2:37" ht="56.25">
      <c r="B80" s="24"/>
      <c r="C80" s="24"/>
      <c r="D80" s="275"/>
      <c r="E80" s="275"/>
      <c r="F80" s="272"/>
      <c r="G80" s="108" t="s">
        <v>531</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v>48721</v>
      </c>
      <c r="AK80" s="268"/>
    </row>
    <row r="81" spans="2:37" ht="37.5">
      <c r="B81" s="24"/>
      <c r="C81" s="24"/>
      <c r="D81" s="275"/>
      <c r="E81" s="275"/>
      <c r="F81" s="272"/>
      <c r="G81" s="108" t="s">
        <v>532</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8"/>
    </row>
    <row r="82" spans="2:37" ht="37.5">
      <c r="B82" s="24"/>
      <c r="C82" s="24"/>
      <c r="D82" s="275"/>
      <c r="E82" s="275"/>
      <c r="F82" s="272"/>
      <c r="G82" s="108" t="s">
        <v>533</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c r="AD82" s="42">
        <v>12000</v>
      </c>
      <c r="AE82" s="42"/>
      <c r="AF82" s="42">
        <v>105000</v>
      </c>
      <c r="AG82" s="42"/>
      <c r="AH82" s="42"/>
      <c r="AI82" s="242">
        <f>3659+120358.5</f>
        <v>124017.5</v>
      </c>
      <c r="AK82" s="268"/>
    </row>
    <row r="83" spans="2:37" ht="37.5">
      <c r="B83" s="24"/>
      <c r="C83" s="24"/>
      <c r="D83" s="275"/>
      <c r="E83" s="275"/>
      <c r="F83" s="272"/>
      <c r="G83" s="108" t="s">
        <v>534</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8"/>
    </row>
    <row r="84" spans="2:37" ht="56.25">
      <c r="B84" s="24"/>
      <c r="C84" s="24"/>
      <c r="D84" s="275"/>
      <c r="E84" s="275"/>
      <c r="F84" s="272"/>
      <c r="G84" s="108" t="s">
        <v>535</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8"/>
    </row>
    <row r="85" spans="2:37" ht="37.5">
      <c r="B85" s="24"/>
      <c r="C85" s="24"/>
      <c r="D85" s="275"/>
      <c r="E85" s="275"/>
      <c r="F85" s="272"/>
      <c r="G85" s="108" t="s">
        <v>536</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8"/>
    </row>
    <row r="86" spans="2:37" ht="56.25">
      <c r="B86" s="24"/>
      <c r="C86" s="24"/>
      <c r="D86" s="275"/>
      <c r="E86" s="275"/>
      <c r="F86" s="272"/>
      <c r="G86" s="108" t="s">
        <v>516</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f>120000+83000</f>
        <v>203000</v>
      </c>
      <c r="AD86" s="42">
        <f>160000+15000-83000</f>
        <v>92000</v>
      </c>
      <c r="AE86" s="42"/>
      <c r="AF86" s="42"/>
      <c r="AG86" s="42"/>
      <c r="AH86" s="42"/>
      <c r="AI86" s="242">
        <f>4753.6+202306.3</f>
        <v>207059.9</v>
      </c>
      <c r="AK86" s="268"/>
    </row>
    <row r="87" spans="2:37" ht="37.5">
      <c r="B87" s="24"/>
      <c r="C87" s="24"/>
      <c r="D87" s="275"/>
      <c r="E87" s="275"/>
      <c r="F87" s="272"/>
      <c r="G87" s="108" t="s">
        <v>506</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f>
        <v>100000</v>
      </c>
      <c r="AD87" s="42"/>
      <c r="AE87" s="42"/>
      <c r="AF87" s="42">
        <f>50000-7000</f>
        <v>43000</v>
      </c>
      <c r="AG87" s="42"/>
      <c r="AH87" s="42"/>
      <c r="AI87" s="242">
        <f>4080+71115.5</f>
        <v>75195.5</v>
      </c>
      <c r="AK87" s="268"/>
    </row>
    <row r="88" spans="2:37" ht="56.25">
      <c r="B88" s="24"/>
      <c r="C88" s="24"/>
      <c r="D88" s="275"/>
      <c r="E88" s="275"/>
      <c r="F88" s="272"/>
      <c r="G88" s="108" t="s">
        <v>507</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4386+109778</f>
        <v>114164</v>
      </c>
      <c r="AK88" s="268"/>
    </row>
    <row r="89" spans="2:37" ht="56.25">
      <c r="B89" s="24"/>
      <c r="C89" s="24"/>
      <c r="D89" s="275"/>
      <c r="E89" s="275"/>
      <c r="F89" s="272"/>
      <c r="G89" s="108" t="s">
        <v>508</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8"/>
    </row>
    <row r="90" spans="2:37" ht="56.25">
      <c r="B90" s="24"/>
      <c r="C90" s="24"/>
      <c r="D90" s="275"/>
      <c r="E90" s="275"/>
      <c r="F90" s="272"/>
      <c r="G90" s="108" t="s">
        <v>509</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8"/>
    </row>
    <row r="91" spans="2:37" ht="37.5">
      <c r="B91" s="24"/>
      <c r="C91" s="24"/>
      <c r="D91" s="275"/>
      <c r="E91" s="275"/>
      <c r="F91" s="272"/>
      <c r="G91" s="108" t="s">
        <v>510</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8"/>
    </row>
    <row r="92" spans="2:37" ht="56.25">
      <c r="B92" s="24"/>
      <c r="C92" s="24"/>
      <c r="D92" s="275"/>
      <c r="E92" s="275"/>
      <c r="F92" s="272"/>
      <c r="G92" s="108" t="s">
        <v>511</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v>76000</v>
      </c>
      <c r="AD92" s="42">
        <v>70000</v>
      </c>
      <c r="AE92" s="42"/>
      <c r="AF92" s="42">
        <f>85000-76000</f>
        <v>9000</v>
      </c>
      <c r="AG92" s="42"/>
      <c r="AH92" s="42"/>
      <c r="AI92" s="242">
        <f>75874.8</f>
        <v>75874.8</v>
      </c>
      <c r="AK92" s="268"/>
    </row>
    <row r="93" spans="2:37" ht="56.25">
      <c r="B93" s="24"/>
      <c r="C93" s="24"/>
      <c r="D93" s="275"/>
      <c r="E93" s="275"/>
      <c r="F93" s="272"/>
      <c r="G93" s="108" t="s">
        <v>512</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8"/>
    </row>
    <row r="94" spans="2:37" ht="37.5">
      <c r="B94" s="24"/>
      <c r="C94" s="24"/>
      <c r="D94" s="275"/>
      <c r="E94" s="275"/>
      <c r="F94" s="272"/>
      <c r="G94" s="108" t="s">
        <v>513</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8"/>
    </row>
    <row r="95" spans="2:37" ht="37.5">
      <c r="B95" s="24"/>
      <c r="C95" s="24"/>
      <c r="D95" s="275"/>
      <c r="E95" s="275"/>
      <c r="F95" s="272"/>
      <c r="G95" s="108" t="s">
        <v>50</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f>
        <v>59000</v>
      </c>
      <c r="AD95" s="42">
        <f>100000-100000+26000</f>
        <v>26000</v>
      </c>
      <c r="AE95" s="42"/>
      <c r="AF95" s="42"/>
      <c r="AG95" s="42">
        <f>200000-130000</f>
        <v>70000</v>
      </c>
      <c r="AH95" s="42"/>
      <c r="AI95" s="242">
        <f>5805.8+338760.8</f>
        <v>344566.6</v>
      </c>
      <c r="AK95" s="268"/>
    </row>
    <row r="96" spans="2:37" ht="56.25">
      <c r="B96" s="24"/>
      <c r="C96" s="24"/>
      <c r="D96" s="275"/>
      <c r="E96" s="275"/>
      <c r="F96" s="272"/>
      <c r="G96" s="108" t="s">
        <v>51</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f>
        <v>175240.5</v>
      </c>
      <c r="AD96" s="42">
        <f>150000-150000</f>
        <v>0</v>
      </c>
      <c r="AE96" s="42"/>
      <c r="AF96" s="42"/>
      <c r="AG96" s="42"/>
      <c r="AH96" s="42"/>
      <c r="AI96" s="242">
        <f>6799+167960+0.5</f>
        <v>174759.5</v>
      </c>
      <c r="AK96" s="268"/>
    </row>
    <row r="97" spans="2:37" ht="37.5">
      <c r="B97" s="24"/>
      <c r="C97" s="24"/>
      <c r="D97" s="275"/>
      <c r="E97" s="275"/>
      <c r="F97" s="272"/>
      <c r="G97" s="108" t="s">
        <v>52</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8"/>
    </row>
    <row r="98" spans="2:37" ht="37.5">
      <c r="B98" s="24"/>
      <c r="C98" s="24"/>
      <c r="D98" s="275"/>
      <c r="E98" s="275"/>
      <c r="F98" s="272"/>
      <c r="G98" s="108" t="s">
        <v>53</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8"/>
    </row>
    <row r="99" spans="2:37" ht="56.25">
      <c r="B99" s="24"/>
      <c r="C99" s="24"/>
      <c r="D99" s="275"/>
      <c r="E99" s="275"/>
      <c r="F99" s="272"/>
      <c r="G99" s="108" t="s">
        <v>54</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8"/>
    </row>
    <row r="100" spans="2:37" ht="37.5">
      <c r="B100" s="24"/>
      <c r="C100" s="24"/>
      <c r="D100" s="275"/>
      <c r="E100" s="275"/>
      <c r="F100" s="272"/>
      <c r="G100" s="108" t="s">
        <v>55</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8"/>
    </row>
    <row r="101" spans="2:37" ht="37.5">
      <c r="B101" s="24"/>
      <c r="C101" s="24"/>
      <c r="D101" s="275"/>
      <c r="E101" s="275"/>
      <c r="F101" s="272"/>
      <c r="G101" s="108" t="s">
        <v>136</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8"/>
    </row>
    <row r="102" spans="2:37" ht="37.5">
      <c r="B102" s="24"/>
      <c r="C102" s="24"/>
      <c r="D102" s="275"/>
      <c r="E102" s="275"/>
      <c r="F102" s="272"/>
      <c r="G102" s="108" t="s">
        <v>495</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8"/>
    </row>
    <row r="103" spans="2:37" ht="56.25">
      <c r="B103" s="24"/>
      <c r="C103" s="24"/>
      <c r="D103" s="275"/>
      <c r="E103" s="275"/>
      <c r="F103" s="272"/>
      <c r="G103" s="108" t="s">
        <v>142</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8"/>
    </row>
    <row r="104" spans="2:37" ht="56.25">
      <c r="B104" s="24"/>
      <c r="C104" s="24"/>
      <c r="D104" s="275"/>
      <c r="E104" s="275"/>
      <c r="F104" s="272"/>
      <c r="G104" s="108" t="s">
        <v>143</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8"/>
    </row>
    <row r="105" spans="2:37" ht="37.5">
      <c r="B105" s="24"/>
      <c r="C105" s="24"/>
      <c r="D105" s="275"/>
      <c r="E105" s="275"/>
      <c r="F105" s="272"/>
      <c r="G105" s="108" t="s">
        <v>144</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8"/>
    </row>
    <row r="106" spans="2:37" ht="37.5">
      <c r="B106" s="24"/>
      <c r="C106" s="24"/>
      <c r="D106" s="275"/>
      <c r="E106" s="275"/>
      <c r="F106" s="272"/>
      <c r="G106" s="108" t="s">
        <v>145</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f>
        <v>130000</v>
      </c>
      <c r="AD106" s="42"/>
      <c r="AE106" s="42"/>
      <c r="AF106" s="42">
        <v>100000</v>
      </c>
      <c r="AG106" s="42"/>
      <c r="AH106" s="42"/>
      <c r="AI106" s="242">
        <f>14400+216007.6+33600</f>
        <v>264007.6</v>
      </c>
      <c r="AK106" s="268"/>
    </row>
    <row r="107" spans="2:37" ht="36" hidden="1">
      <c r="B107" s="24"/>
      <c r="C107" s="24"/>
      <c r="D107" s="275"/>
      <c r="E107" s="275"/>
      <c r="F107" s="272"/>
      <c r="G107" s="108" t="s">
        <v>146</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8"/>
    </row>
    <row r="108" spans="2:37" ht="37.5">
      <c r="B108" s="24"/>
      <c r="C108" s="24"/>
      <c r="D108" s="275"/>
      <c r="E108" s="275"/>
      <c r="F108" s="272"/>
      <c r="G108" s="108" t="s">
        <v>213</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8"/>
    </row>
    <row r="109" spans="2:37" ht="56.25">
      <c r="B109" s="24"/>
      <c r="C109" s="24"/>
      <c r="D109" s="275"/>
      <c r="E109" s="275"/>
      <c r="F109" s="272"/>
      <c r="G109" s="108" t="s">
        <v>147</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f>
        <v>229000</v>
      </c>
      <c r="AD109" s="42"/>
      <c r="AE109" s="42"/>
      <c r="AF109" s="42"/>
      <c r="AG109" s="42"/>
      <c r="AH109" s="42"/>
      <c r="AI109" s="242">
        <f>220961.31</f>
        <v>220961.31</v>
      </c>
      <c r="AK109" s="268"/>
    </row>
    <row r="110" spans="2:37" ht="56.25">
      <c r="B110" s="24"/>
      <c r="C110" s="24"/>
      <c r="D110" s="275"/>
      <c r="E110" s="275"/>
      <c r="F110" s="272"/>
      <c r="G110" s="108" t="s">
        <v>148</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8"/>
    </row>
    <row r="111" spans="2:37" ht="37.5">
      <c r="B111" s="24"/>
      <c r="C111" s="24"/>
      <c r="D111" s="275"/>
      <c r="E111" s="275"/>
      <c r="F111" s="272"/>
      <c r="G111" s="108" t="s">
        <v>771</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8"/>
    </row>
    <row r="112" spans="2:37" ht="56.25">
      <c r="B112" s="24"/>
      <c r="C112" s="24"/>
      <c r="D112" s="275"/>
      <c r="E112" s="275"/>
      <c r="F112" s="272"/>
      <c r="G112" s="108" t="s">
        <v>772</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f>
        <v>67500</v>
      </c>
      <c r="AD112" s="42">
        <v>110000</v>
      </c>
      <c r="AE112" s="42"/>
      <c r="AF112" s="42"/>
      <c r="AG112" s="42"/>
      <c r="AH112" s="42"/>
      <c r="AI112" s="242">
        <f>757.2+171493.8</f>
        <v>172251</v>
      </c>
      <c r="AK112" s="268"/>
    </row>
    <row r="113" spans="2:37" ht="37.5">
      <c r="B113" s="24"/>
      <c r="C113" s="24"/>
      <c r="D113" s="275"/>
      <c r="E113" s="275"/>
      <c r="F113" s="272"/>
      <c r="G113" s="108" t="s">
        <v>773</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f>99799</f>
        <v>99799</v>
      </c>
      <c r="AK113" s="268"/>
    </row>
    <row r="114" spans="2:37" ht="37.5">
      <c r="B114" s="24"/>
      <c r="C114" s="24"/>
      <c r="D114" s="275"/>
      <c r="E114" s="275"/>
      <c r="F114" s="272"/>
      <c r="G114" s="108" t="s">
        <v>774</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8"/>
    </row>
    <row r="115" spans="2:37" ht="37.5">
      <c r="B115" s="24"/>
      <c r="C115" s="24"/>
      <c r="D115" s="275"/>
      <c r="E115" s="275"/>
      <c r="F115" s="272"/>
      <c r="G115" s="108" t="s">
        <v>775</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v>23000</v>
      </c>
      <c r="AD115" s="42">
        <v>85000</v>
      </c>
      <c r="AE115" s="42"/>
      <c r="AF115" s="42"/>
      <c r="AG115" s="42">
        <f>150000-135000</f>
        <v>15000</v>
      </c>
      <c r="AH115" s="42"/>
      <c r="AI115" s="242">
        <f>5776.4+270728.6</f>
        <v>276505</v>
      </c>
      <c r="AK115" s="268"/>
    </row>
    <row r="116" spans="2:37" ht="56.25">
      <c r="B116" s="24"/>
      <c r="C116" s="24"/>
      <c r="D116" s="275"/>
      <c r="E116" s="275"/>
      <c r="F116" s="272"/>
      <c r="G116" s="108" t="s">
        <v>776</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8"/>
    </row>
    <row r="117" spans="2:37" ht="37.5">
      <c r="B117" s="24"/>
      <c r="C117" s="24"/>
      <c r="D117" s="275"/>
      <c r="E117" s="275"/>
      <c r="F117" s="272"/>
      <c r="G117" s="108" t="s">
        <v>777</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8"/>
    </row>
    <row r="118" spans="2:37" ht="37.5">
      <c r="B118" s="24"/>
      <c r="C118" s="24"/>
      <c r="D118" s="275"/>
      <c r="E118" s="275"/>
      <c r="F118" s="272"/>
      <c r="G118" s="108" t="s">
        <v>778</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8"/>
    </row>
    <row r="119" spans="2:37" ht="56.25">
      <c r="B119" s="24"/>
      <c r="C119" s="24"/>
      <c r="D119" s="275"/>
      <c r="E119" s="275"/>
      <c r="F119" s="272"/>
      <c r="G119" s="108" t="s">
        <v>779</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8"/>
    </row>
    <row r="120" spans="2:37" ht="75">
      <c r="B120" s="24"/>
      <c r="C120" s="24"/>
      <c r="D120" s="275"/>
      <c r="E120" s="275"/>
      <c r="F120" s="272"/>
      <c r="G120" s="108" t="s">
        <v>780</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8"/>
    </row>
    <row r="121" spans="2:37" ht="75">
      <c r="B121" s="24"/>
      <c r="C121" s="24"/>
      <c r="D121" s="275"/>
      <c r="E121" s="275"/>
      <c r="F121" s="272"/>
      <c r="G121" s="108" t="s">
        <v>465</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v>75000</v>
      </c>
      <c r="AK121" s="268"/>
    </row>
    <row r="122" spans="2:37" ht="37.5">
      <c r="B122" s="24"/>
      <c r="C122" s="24"/>
      <c r="D122" s="275"/>
      <c r="E122" s="275"/>
      <c r="F122" s="272"/>
      <c r="G122" s="108" t="s">
        <v>466</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8"/>
    </row>
    <row r="123" spans="2:37" ht="56.25">
      <c r="B123" s="24"/>
      <c r="C123" s="24"/>
      <c r="D123" s="275"/>
      <c r="E123" s="275"/>
      <c r="F123" s="272"/>
      <c r="G123" s="108" t="s">
        <v>467</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151131.26+98000-220000</f>
        <v>29131.26000000001</v>
      </c>
      <c r="AD123" s="42">
        <v>60000</v>
      </c>
      <c r="AE123" s="42">
        <v>100000</v>
      </c>
      <c r="AF123" s="42">
        <v>60000</v>
      </c>
      <c r="AG123" s="42"/>
      <c r="AH123" s="42"/>
      <c r="AI123" s="242">
        <v>6747</v>
      </c>
      <c r="AK123" s="268"/>
    </row>
    <row r="124" spans="2:37" ht="37.5">
      <c r="B124" s="24"/>
      <c r="C124" s="24"/>
      <c r="D124" s="275"/>
      <c r="E124" s="275"/>
      <c r="F124" s="272"/>
      <c r="G124" s="108" t="s">
        <v>468</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4697.6+192752</f>
        <v>197449.6</v>
      </c>
      <c r="AK124" s="268"/>
    </row>
    <row r="125" spans="2:37" ht="56.25">
      <c r="B125" s="24"/>
      <c r="C125" s="24"/>
      <c r="D125" s="275"/>
      <c r="E125" s="275"/>
      <c r="F125" s="272"/>
      <c r="G125" s="108" t="s">
        <v>469</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f>195000+40000</f>
        <v>235000</v>
      </c>
      <c r="AD125" s="42">
        <v>150000</v>
      </c>
      <c r="AE125" s="42"/>
      <c r="AF125" s="42">
        <f>135000-40000</f>
        <v>95000</v>
      </c>
      <c r="AG125" s="42"/>
      <c r="AH125" s="42"/>
      <c r="AI125" s="242">
        <f>2880+6720+239369.4</f>
        <v>248969.4</v>
      </c>
      <c r="AK125" s="268"/>
    </row>
    <row r="126" spans="2:37" ht="56.25">
      <c r="B126" s="24"/>
      <c r="C126" s="24"/>
      <c r="D126" s="275"/>
      <c r="E126" s="275"/>
      <c r="F126" s="272"/>
      <c r="G126" s="108" t="s">
        <v>470</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f>1681.21+166530.21</f>
        <v>168211.41999999998</v>
      </c>
      <c r="AK126" s="268"/>
    </row>
    <row r="127" spans="2:37" ht="56.25">
      <c r="B127" s="24"/>
      <c r="C127" s="24"/>
      <c r="D127" s="275"/>
      <c r="E127" s="275"/>
      <c r="F127" s="272"/>
      <c r="G127" s="108" t="s">
        <v>471</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8"/>
    </row>
    <row r="128" spans="2:37" ht="56.25">
      <c r="B128" s="24"/>
      <c r="C128" s="24"/>
      <c r="D128" s="275"/>
      <c r="E128" s="275"/>
      <c r="F128" s="272"/>
      <c r="G128" s="108" t="s">
        <v>472</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f>2000+5000</f>
        <v>7000</v>
      </c>
      <c r="AD128" s="42">
        <f>100000-5000</f>
        <v>95000</v>
      </c>
      <c r="AE128" s="42"/>
      <c r="AF128" s="42">
        <v>125000</v>
      </c>
      <c r="AG128" s="42">
        <v>23000</v>
      </c>
      <c r="AH128" s="42"/>
      <c r="AI128" s="242">
        <v>6747</v>
      </c>
      <c r="AK128" s="268"/>
    </row>
    <row r="129" spans="2:37" ht="56.25">
      <c r="B129" s="24"/>
      <c r="C129" s="24"/>
      <c r="D129" s="275"/>
      <c r="E129" s="275"/>
      <c r="F129" s="272"/>
      <c r="G129" s="108" t="s">
        <v>473</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8"/>
    </row>
    <row r="130" spans="2:37" ht="37.5">
      <c r="B130" s="24"/>
      <c r="C130" s="24"/>
      <c r="D130" s="275"/>
      <c r="E130" s="275"/>
      <c r="F130" s="272"/>
      <c r="G130" s="108" t="s">
        <v>110</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8"/>
    </row>
    <row r="131" spans="2:37" ht="37.5">
      <c r="B131" s="24"/>
      <c r="C131" s="24"/>
      <c r="D131" s="275"/>
      <c r="E131" s="275"/>
      <c r="F131" s="272"/>
      <c r="G131" s="108" t="s">
        <v>111</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1305.6+73207</f>
        <v>74512.6</v>
      </c>
      <c r="AK131" s="268"/>
    </row>
    <row r="132" spans="2:37" ht="37.5">
      <c r="B132" s="24"/>
      <c r="C132" s="24"/>
      <c r="D132" s="275"/>
      <c r="E132" s="275"/>
      <c r="F132" s="272"/>
      <c r="G132" s="108" t="s">
        <v>112</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c r="AD132" s="42">
        <f>120000-58500</f>
        <v>61500</v>
      </c>
      <c r="AE132" s="42"/>
      <c r="AF132" s="42"/>
      <c r="AG132" s="42"/>
      <c r="AH132" s="42">
        <v>115000</v>
      </c>
      <c r="AI132" s="242">
        <f>73323</f>
        <v>73323</v>
      </c>
      <c r="AK132" s="268"/>
    </row>
    <row r="133" spans="2:37" ht="37.5">
      <c r="B133" s="24"/>
      <c r="C133" s="24"/>
      <c r="D133" s="275"/>
      <c r="E133" s="275"/>
      <c r="F133" s="272"/>
      <c r="G133" s="108" t="s">
        <v>113</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f>120000+111000</f>
        <v>231000</v>
      </c>
      <c r="AD133" s="42"/>
      <c r="AE133" s="42"/>
      <c r="AF133" s="42">
        <f>245000-111000</f>
        <v>134000</v>
      </c>
      <c r="AG133" s="42">
        <v>135000</v>
      </c>
      <c r="AH133" s="42"/>
      <c r="AI133" s="242">
        <f>3150+227571.5</f>
        <v>230721.5</v>
      </c>
      <c r="AK133" s="268"/>
    </row>
    <row r="134" spans="2:37" ht="56.25">
      <c r="B134" s="24"/>
      <c r="C134" s="24"/>
      <c r="D134" s="275"/>
      <c r="E134" s="275"/>
      <c r="F134" s="272"/>
      <c r="G134" s="108" t="s">
        <v>476</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8"/>
    </row>
    <row r="135" spans="2:37" ht="56.25">
      <c r="B135" s="24"/>
      <c r="C135" s="24"/>
      <c r="D135" s="275"/>
      <c r="E135" s="275"/>
      <c r="F135" s="272"/>
      <c r="G135" s="108" t="s">
        <v>477</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110000-87500-21000</f>
        <v>1500</v>
      </c>
      <c r="AD135" s="42">
        <v>70000</v>
      </c>
      <c r="AE135" s="42"/>
      <c r="AF135" s="42">
        <v>16000</v>
      </c>
      <c r="AG135" s="42">
        <v>5000</v>
      </c>
      <c r="AH135" s="42"/>
      <c r="AI135" s="242">
        <f>87203</f>
        <v>87203</v>
      </c>
      <c r="AK135" s="268"/>
    </row>
    <row r="136" spans="2:37" ht="56.25">
      <c r="B136" s="24"/>
      <c r="C136" s="24"/>
      <c r="D136" s="275"/>
      <c r="E136" s="275"/>
      <c r="F136" s="272"/>
      <c r="G136" s="108" t="s">
        <v>478</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f>
        <v>139500</v>
      </c>
      <c r="AD136" s="42">
        <f>121555.09-107000</f>
        <v>14555.089999999997</v>
      </c>
      <c r="AE136" s="42"/>
      <c r="AF136" s="42">
        <f>248444.91-248000</f>
        <v>444.9100000000035</v>
      </c>
      <c r="AG136" s="42"/>
      <c r="AH136" s="42"/>
      <c r="AI136" s="242">
        <f>5992.4+339504.9</f>
        <v>345497.30000000005</v>
      </c>
      <c r="AK136" s="268"/>
    </row>
    <row r="137" spans="2:37" ht="56.25">
      <c r="B137" s="24"/>
      <c r="C137" s="24"/>
      <c r="D137" s="275"/>
      <c r="E137" s="275"/>
      <c r="F137" s="272"/>
      <c r="G137" s="108" t="s">
        <v>479</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f>78328.78</f>
        <v>78328.78</v>
      </c>
      <c r="AK137" s="268"/>
    </row>
    <row r="138" spans="2:37" ht="56.25">
      <c r="B138" s="24"/>
      <c r="C138" s="24"/>
      <c r="D138" s="275"/>
      <c r="E138" s="275"/>
      <c r="F138" s="272"/>
      <c r="G138" s="108" t="s">
        <v>480</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8"/>
    </row>
    <row r="139" spans="2:37" ht="37.5">
      <c r="B139" s="24"/>
      <c r="C139" s="24"/>
      <c r="D139" s="275"/>
      <c r="E139" s="275"/>
      <c r="F139" s="272"/>
      <c r="G139" s="108" t="s">
        <v>123</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8"/>
    </row>
    <row r="140" spans="2:37" ht="37.5">
      <c r="B140" s="24"/>
      <c r="C140" s="24"/>
      <c r="D140" s="275"/>
      <c r="E140" s="275"/>
      <c r="F140" s="272"/>
      <c r="G140" s="108" t="s">
        <v>485</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8"/>
    </row>
    <row r="141" spans="2:37" ht="36" hidden="1">
      <c r="B141" s="24"/>
      <c r="C141" s="24"/>
      <c r="D141" s="275"/>
      <c r="E141" s="275"/>
      <c r="F141" s="272"/>
      <c r="G141" s="108" t="s">
        <v>486</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8"/>
    </row>
    <row r="142" spans="2:37" ht="56.25">
      <c r="B142" s="24"/>
      <c r="C142" s="24"/>
      <c r="D142" s="275"/>
      <c r="E142" s="275"/>
      <c r="F142" s="272"/>
      <c r="G142" s="108" t="s">
        <v>487</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8"/>
    </row>
    <row r="143" spans="2:37" ht="37.5">
      <c r="B143" s="24"/>
      <c r="C143" s="24"/>
      <c r="D143" s="275"/>
      <c r="E143" s="275"/>
      <c r="F143" s="272"/>
      <c r="G143" s="108" t="s">
        <v>488</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8"/>
    </row>
    <row r="144" spans="2:37" ht="56.25">
      <c r="B144" s="24"/>
      <c r="C144" s="24"/>
      <c r="D144" s="275"/>
      <c r="E144" s="275"/>
      <c r="F144" s="272"/>
      <c r="G144" s="108" t="s">
        <v>165</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8"/>
    </row>
    <row r="145" spans="2:37" ht="37.5">
      <c r="B145" s="24"/>
      <c r="C145" s="24"/>
      <c r="D145" s="275"/>
      <c r="E145" s="275"/>
      <c r="F145" s="272"/>
      <c r="G145" s="108" t="s">
        <v>166</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8"/>
    </row>
    <row r="146" spans="2:37" ht="56.25">
      <c r="B146" s="24"/>
      <c r="C146" s="24"/>
      <c r="D146" s="275"/>
      <c r="E146" s="275"/>
      <c r="F146" s="272"/>
      <c r="G146" s="108" t="s">
        <v>167</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8"/>
    </row>
    <row r="147" spans="2:37" ht="37.5">
      <c r="B147" s="24"/>
      <c r="C147" s="24"/>
      <c r="D147" s="275"/>
      <c r="E147" s="275"/>
      <c r="F147" s="272"/>
      <c r="G147" s="108" t="s">
        <v>168</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8"/>
    </row>
    <row r="148" spans="2:37" ht="37.5">
      <c r="B148" s="24"/>
      <c r="C148" s="24"/>
      <c r="D148" s="275"/>
      <c r="E148" s="275"/>
      <c r="F148" s="272"/>
      <c r="G148" s="108" t="s">
        <v>169</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8"/>
    </row>
    <row r="149" spans="2:37" ht="75">
      <c r="B149" s="24"/>
      <c r="C149" s="24"/>
      <c r="D149" s="275"/>
      <c r="E149" s="275"/>
      <c r="F149" s="272"/>
      <c r="G149" s="108" t="s">
        <v>537</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v>-10000</v>
      </c>
      <c r="AD149" s="42"/>
      <c r="AE149" s="42"/>
      <c r="AF149" s="42"/>
      <c r="AG149" s="42">
        <v>10000</v>
      </c>
      <c r="AH149" s="42"/>
      <c r="AI149" s="242">
        <f>15492.96</f>
        <v>15492.96</v>
      </c>
      <c r="AK149" s="268"/>
    </row>
    <row r="150" spans="2:37" ht="37.5">
      <c r="B150" s="24"/>
      <c r="C150" s="24"/>
      <c r="D150" s="275"/>
      <c r="E150" s="275"/>
      <c r="F150" s="272"/>
      <c r="G150" s="108" t="s">
        <v>538</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8"/>
    </row>
    <row r="151" spans="2:37" ht="37.5">
      <c r="B151" s="24"/>
      <c r="C151" s="24"/>
      <c r="D151" s="275"/>
      <c r="E151" s="275"/>
      <c r="F151" s="272"/>
      <c r="G151" s="108" t="s">
        <v>539</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341889.1+1774.8</f>
        <v>343663.89999999997</v>
      </c>
      <c r="AK151" s="268"/>
    </row>
    <row r="152" spans="2:37" ht="75">
      <c r="B152" s="24"/>
      <c r="C152" s="24"/>
      <c r="D152" s="275"/>
      <c r="E152" s="275"/>
      <c r="F152" s="272"/>
      <c r="G152" s="108" t="s">
        <v>540</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8"/>
    </row>
    <row r="153" spans="2:37" ht="37.5">
      <c r="B153" s="24"/>
      <c r="C153" s="24"/>
      <c r="D153" s="275"/>
      <c r="E153" s="275"/>
      <c r="F153" s="272"/>
      <c r="G153" s="108" t="s">
        <v>541</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f>40000+10000</f>
        <v>50000</v>
      </c>
      <c r="AD153" s="42">
        <v>50000</v>
      </c>
      <c r="AE153" s="42"/>
      <c r="AF153" s="42"/>
      <c r="AG153" s="42">
        <f>10000-10000</f>
        <v>0</v>
      </c>
      <c r="AH153" s="42"/>
      <c r="AI153" s="242"/>
      <c r="AK153" s="268"/>
    </row>
    <row r="154" spans="2:37" ht="56.25">
      <c r="B154" s="24"/>
      <c r="C154" s="24"/>
      <c r="D154" s="275"/>
      <c r="E154" s="275"/>
      <c r="F154" s="272"/>
      <c r="G154" s="108" t="s">
        <v>714</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8"/>
    </row>
    <row r="155" spans="2:37" ht="37.5">
      <c r="B155" s="24"/>
      <c r="C155" s="24"/>
      <c r="D155" s="275"/>
      <c r="E155" s="275"/>
      <c r="F155" s="272"/>
      <c r="G155" s="108" t="s">
        <v>542</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v>65961.6</v>
      </c>
      <c r="AK155" s="268"/>
    </row>
    <row r="156" spans="2:37" ht="37.5">
      <c r="B156" s="24"/>
      <c r="C156" s="24"/>
      <c r="D156" s="275"/>
      <c r="E156" s="275"/>
      <c r="F156" s="272"/>
      <c r="G156" s="108" t="s">
        <v>543</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8"/>
    </row>
    <row r="157" spans="2:37" ht="37.5">
      <c r="B157" s="24"/>
      <c r="C157" s="24"/>
      <c r="D157" s="275"/>
      <c r="E157" s="275"/>
      <c r="F157" s="272"/>
      <c r="G157" s="108" t="s">
        <v>544</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v>65000</v>
      </c>
      <c r="AD157" s="42">
        <f>60000-60000</f>
        <v>0</v>
      </c>
      <c r="AE157" s="42"/>
      <c r="AF157" s="42"/>
      <c r="AG157" s="42">
        <f>25000-5000</f>
        <v>20000</v>
      </c>
      <c r="AH157" s="42">
        <v>50000</v>
      </c>
      <c r="AI157" s="242">
        <f>68576</f>
        <v>68576</v>
      </c>
      <c r="AK157" s="268"/>
    </row>
    <row r="158" spans="2:37" ht="37.5">
      <c r="B158" s="24"/>
      <c r="C158" s="24"/>
      <c r="D158" s="275"/>
      <c r="E158" s="275"/>
      <c r="F158" s="272"/>
      <c r="G158" s="108" t="s">
        <v>545</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8"/>
    </row>
    <row r="159" spans="2:37" ht="37.5">
      <c r="B159" s="24"/>
      <c r="C159" s="24"/>
      <c r="D159" s="275"/>
      <c r="E159" s="275"/>
      <c r="F159" s="272"/>
      <c r="G159" s="108" t="s">
        <v>546</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8"/>
    </row>
    <row r="160" spans="2:37" ht="90" hidden="1">
      <c r="B160" s="19"/>
      <c r="C160" s="19"/>
      <c r="D160" s="275"/>
      <c r="E160" s="275"/>
      <c r="F160" s="272"/>
      <c r="G160" s="52" t="s">
        <v>225</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8"/>
    </row>
    <row r="161" spans="2:37" ht="90" hidden="1">
      <c r="B161" s="19"/>
      <c r="C161" s="19"/>
      <c r="D161" s="275"/>
      <c r="E161" s="275"/>
      <c r="F161" s="272"/>
      <c r="G161" s="52" t="s">
        <v>226</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8"/>
    </row>
    <row r="162" spans="2:37" ht="74.25" customHeight="1" hidden="1">
      <c r="B162" s="19"/>
      <c r="C162" s="19"/>
      <c r="D162" s="275"/>
      <c r="E162" s="275"/>
      <c r="F162" s="272"/>
      <c r="G162" s="52" t="s">
        <v>227</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8"/>
    </row>
    <row r="163" spans="2:37" ht="18.75">
      <c r="B163" s="24"/>
      <c r="C163" s="24"/>
      <c r="D163" s="274" t="s">
        <v>339</v>
      </c>
      <c r="E163" s="274" t="s">
        <v>322</v>
      </c>
      <c r="F163" s="271" t="s">
        <v>321</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1788300</v>
      </c>
      <c r="AC163" s="49">
        <f t="shared" si="17"/>
        <v>2314675.6</v>
      </c>
      <c r="AD163" s="49">
        <f t="shared" si="17"/>
        <v>4274000</v>
      </c>
      <c r="AE163" s="49">
        <f t="shared" si="17"/>
        <v>1419600</v>
      </c>
      <c r="AF163" s="49">
        <f t="shared" si="17"/>
        <v>394212</v>
      </c>
      <c r="AG163" s="49">
        <f t="shared" si="17"/>
        <v>2937963</v>
      </c>
      <c r="AH163" s="49">
        <f t="shared" si="17"/>
        <v>4513489.4</v>
      </c>
      <c r="AI163" s="49">
        <f t="shared" si="17"/>
        <v>6718375.759999999</v>
      </c>
      <c r="AK163" s="268"/>
    </row>
    <row r="164" spans="2:37" ht="37.5">
      <c r="B164" s="19"/>
      <c r="C164" s="19"/>
      <c r="D164" s="275"/>
      <c r="E164" s="275"/>
      <c r="F164" s="272"/>
      <c r="G164" s="108" t="s">
        <v>547</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8"/>
    </row>
    <row r="165" spans="2:37" ht="37.5">
      <c r="B165" s="19"/>
      <c r="C165" s="19"/>
      <c r="D165" s="275"/>
      <c r="E165" s="275"/>
      <c r="F165" s="272"/>
      <c r="G165" s="108" t="s">
        <v>408</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8"/>
    </row>
    <row r="166" spans="2:37" ht="56.25">
      <c r="B166" s="19"/>
      <c r="C166" s="19"/>
      <c r="D166" s="275"/>
      <c r="E166" s="275"/>
      <c r="F166" s="272"/>
      <c r="G166" s="108" t="s">
        <v>395</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8"/>
    </row>
    <row r="167" spans="2:37" ht="37.5">
      <c r="B167" s="19"/>
      <c r="C167" s="19"/>
      <c r="D167" s="275"/>
      <c r="E167" s="275"/>
      <c r="F167" s="272"/>
      <c r="G167" s="108" t="s">
        <v>548</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8"/>
    </row>
    <row r="168" spans="2:37" ht="37.5">
      <c r="B168" s="19"/>
      <c r="C168" s="19"/>
      <c r="D168" s="275"/>
      <c r="E168" s="275"/>
      <c r="F168" s="272"/>
      <c r="G168" s="108" t="s">
        <v>75</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8"/>
    </row>
    <row r="169" spans="2:37" ht="37.5">
      <c r="B169" s="19"/>
      <c r="C169" s="19"/>
      <c r="D169" s="275"/>
      <c r="E169" s="275"/>
      <c r="F169" s="272"/>
      <c r="G169" s="108" t="s">
        <v>76</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8"/>
    </row>
    <row r="170" spans="2:37" ht="37.5">
      <c r="B170" s="19"/>
      <c r="C170" s="19"/>
      <c r="D170" s="275"/>
      <c r="E170" s="275"/>
      <c r="F170" s="272"/>
      <c r="G170" s="108" t="s">
        <v>77</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8"/>
    </row>
    <row r="171" spans="2:37" ht="56.25">
      <c r="B171" s="19"/>
      <c r="C171" s="19"/>
      <c r="D171" s="275"/>
      <c r="E171" s="275"/>
      <c r="F171" s="272"/>
      <c r="G171" s="108" t="s">
        <v>78</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8"/>
    </row>
    <row r="172" spans="2:37" ht="56.25">
      <c r="B172" s="19"/>
      <c r="C172" s="19"/>
      <c r="D172" s="275"/>
      <c r="E172" s="275"/>
      <c r="F172" s="272"/>
      <c r="G172" s="108" t="s">
        <v>396</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8"/>
    </row>
    <row r="173" spans="2:37" ht="37.5">
      <c r="B173" s="19"/>
      <c r="C173" s="19"/>
      <c r="D173" s="275"/>
      <c r="E173" s="275"/>
      <c r="F173" s="272"/>
      <c r="G173" s="108" t="s">
        <v>172</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8"/>
    </row>
    <row r="174" spans="2:37" ht="37.5">
      <c r="B174" s="19"/>
      <c r="C174" s="19"/>
      <c r="D174" s="275"/>
      <c r="E174" s="275"/>
      <c r="F174" s="272"/>
      <c r="G174" s="108" t="s">
        <v>173</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8"/>
    </row>
    <row r="175" spans="2:37" ht="37.5">
      <c r="B175" s="19"/>
      <c r="C175" s="19"/>
      <c r="D175" s="275"/>
      <c r="E175" s="275"/>
      <c r="F175" s="272"/>
      <c r="G175" s="108" t="s">
        <v>442</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8"/>
    </row>
    <row r="176" spans="2:37" ht="37.5">
      <c r="B176" s="19"/>
      <c r="C176" s="19"/>
      <c r="D176" s="275"/>
      <c r="E176" s="275"/>
      <c r="F176" s="272"/>
      <c r="G176" s="108" t="s">
        <v>549</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8"/>
    </row>
    <row r="177" spans="2:37" ht="37.5">
      <c r="B177" s="19"/>
      <c r="C177" s="19"/>
      <c r="D177" s="275"/>
      <c r="E177" s="275"/>
      <c r="F177" s="272"/>
      <c r="G177" s="108" t="s">
        <v>119</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8"/>
    </row>
    <row r="178" spans="2:37" ht="75">
      <c r="B178" s="19"/>
      <c r="C178" s="19"/>
      <c r="D178" s="275"/>
      <c r="E178" s="275"/>
      <c r="F178" s="272"/>
      <c r="G178" s="108" t="s">
        <v>120</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8"/>
    </row>
    <row r="179" spans="2:37" ht="37.5">
      <c r="B179" s="19"/>
      <c r="C179" s="19"/>
      <c r="D179" s="275"/>
      <c r="E179" s="275"/>
      <c r="F179" s="272"/>
      <c r="G179" s="108" t="s">
        <v>121</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8"/>
    </row>
    <row r="180" spans="2:37" ht="37.5">
      <c r="B180" s="19"/>
      <c r="C180" s="19"/>
      <c r="D180" s="275"/>
      <c r="E180" s="275"/>
      <c r="F180" s="272"/>
      <c r="G180" s="108" t="s">
        <v>122</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8"/>
    </row>
    <row r="181" spans="2:37" ht="131.25">
      <c r="B181" s="19"/>
      <c r="C181" s="19"/>
      <c r="D181" s="275"/>
      <c r="E181" s="275"/>
      <c r="F181" s="272"/>
      <c r="G181" s="108" t="s">
        <v>550</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8"/>
    </row>
    <row r="182" spans="2:37" ht="93.75">
      <c r="B182" s="19"/>
      <c r="C182" s="19"/>
      <c r="D182" s="275"/>
      <c r="E182" s="275"/>
      <c r="F182" s="272"/>
      <c r="G182" s="108" t="s">
        <v>71</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8"/>
    </row>
    <row r="183" spans="2:37" ht="56.25">
      <c r="B183" s="19"/>
      <c r="C183" s="19"/>
      <c r="D183" s="275"/>
      <c r="E183" s="275"/>
      <c r="F183" s="272"/>
      <c r="G183" s="108" t="s">
        <v>629</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8"/>
    </row>
    <row r="184" spans="2:37" ht="75">
      <c r="B184" s="19"/>
      <c r="C184" s="19"/>
      <c r="D184" s="275"/>
      <c r="E184" s="275"/>
      <c r="F184" s="272"/>
      <c r="G184" s="108" t="s">
        <v>572</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8"/>
    </row>
    <row r="185" spans="2:37" ht="37.5">
      <c r="B185" s="19"/>
      <c r="C185" s="19"/>
      <c r="D185" s="275"/>
      <c r="E185" s="275"/>
      <c r="F185" s="272"/>
      <c r="G185" s="108" t="s">
        <v>573</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200000-200000+7000</f>
        <v>7000</v>
      </c>
      <c r="AD185" s="42"/>
      <c r="AE185" s="42"/>
      <c r="AF185" s="42"/>
      <c r="AG185" s="42">
        <v>125000</v>
      </c>
      <c r="AH185" s="42">
        <f>200000-150000+81500-7000</f>
        <v>124500</v>
      </c>
      <c r="AI185" s="50">
        <f>418294</f>
        <v>418294</v>
      </c>
      <c r="AK185" s="268"/>
    </row>
    <row r="186" spans="2:37" ht="36" hidden="1">
      <c r="B186" s="19"/>
      <c r="C186" s="19"/>
      <c r="D186" s="275"/>
      <c r="E186" s="275"/>
      <c r="F186" s="272"/>
      <c r="G186" s="108" t="s">
        <v>574</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8"/>
    </row>
    <row r="187" spans="2:37" ht="37.5">
      <c r="B187" s="19"/>
      <c r="C187" s="19"/>
      <c r="D187" s="275"/>
      <c r="E187" s="275"/>
      <c r="F187" s="272"/>
      <c r="G187" s="108" t="s">
        <v>214</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f>145000+60000</f>
        <v>205000</v>
      </c>
      <c r="AD187" s="42">
        <f>140000-60000</f>
        <v>80000</v>
      </c>
      <c r="AE187" s="42"/>
      <c r="AF187" s="42"/>
      <c r="AG187" s="42"/>
      <c r="AH187" s="42">
        <v>10000</v>
      </c>
      <c r="AI187" s="50">
        <f>4962.2</f>
        <v>4962.2</v>
      </c>
      <c r="AK187" s="268"/>
    </row>
    <row r="188" spans="2:37" ht="37.5">
      <c r="B188" s="19"/>
      <c r="C188" s="19"/>
      <c r="D188" s="275"/>
      <c r="E188" s="275"/>
      <c r="F188" s="272"/>
      <c r="G188" s="108" t="s">
        <v>575</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50">
        <f>5551+232624.5</f>
        <v>238175.5</v>
      </c>
      <c r="AK188" s="268"/>
    </row>
    <row r="189" spans="2:37" ht="56.25">
      <c r="B189" s="19"/>
      <c r="C189" s="19"/>
      <c r="D189" s="275"/>
      <c r="E189" s="275"/>
      <c r="F189" s="272"/>
      <c r="G189" s="108" t="s">
        <v>124</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50">
        <v>114214.8</v>
      </c>
      <c r="AK189" s="268"/>
    </row>
    <row r="190" spans="2:37" ht="56.25">
      <c r="B190" s="19"/>
      <c r="C190" s="19"/>
      <c r="D190" s="275"/>
      <c r="E190" s="275"/>
      <c r="F190" s="272"/>
      <c r="G190" s="108" t="s">
        <v>125</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50"/>
      <c r="AK190" s="268"/>
    </row>
    <row r="191" spans="2:37" ht="54" hidden="1">
      <c r="B191" s="19"/>
      <c r="C191" s="19"/>
      <c r="D191" s="275"/>
      <c r="E191" s="275"/>
      <c r="F191" s="272"/>
      <c r="G191" s="108" t="s">
        <v>579</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50"/>
      <c r="AK191" s="268"/>
    </row>
    <row r="192" spans="2:37" ht="56.25">
      <c r="B192" s="19"/>
      <c r="C192" s="19"/>
      <c r="D192" s="275"/>
      <c r="E192" s="275"/>
      <c r="F192" s="272"/>
      <c r="G192" s="108" t="s">
        <v>580</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50">
        <v>138996.72</v>
      </c>
      <c r="AK192" s="268"/>
    </row>
    <row r="193" spans="2:37" ht="56.25">
      <c r="B193" s="19"/>
      <c r="C193" s="19"/>
      <c r="D193" s="275"/>
      <c r="E193" s="275"/>
      <c r="F193" s="272"/>
      <c r="G193" s="108" t="s">
        <v>581</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f>80000-100000</f>
        <v>-20000</v>
      </c>
      <c r="AD193" s="42">
        <v>150000</v>
      </c>
      <c r="AE193" s="42"/>
      <c r="AF193" s="42"/>
      <c r="AG193" s="42">
        <v>100000</v>
      </c>
      <c r="AH193" s="42">
        <v>150000</v>
      </c>
      <c r="AI193" s="35"/>
      <c r="AK193" s="268"/>
    </row>
    <row r="194" spans="2:37" ht="56.25">
      <c r="B194" s="19"/>
      <c r="C194" s="19"/>
      <c r="D194" s="275"/>
      <c r="E194" s="275"/>
      <c r="F194" s="272"/>
      <c r="G194" s="108" t="s">
        <v>582</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v>-135000</v>
      </c>
      <c r="AD194" s="42">
        <f>100000+135000</f>
        <v>235000</v>
      </c>
      <c r="AE194" s="42"/>
      <c r="AF194" s="42">
        <v>76512</v>
      </c>
      <c r="AG194" s="42">
        <f>35000-10000</f>
        <v>25000</v>
      </c>
      <c r="AH194" s="42"/>
      <c r="AI194" s="35"/>
      <c r="AK194" s="268"/>
    </row>
    <row r="195" spans="2:37" ht="56.25">
      <c r="B195" s="19"/>
      <c r="C195" s="19"/>
      <c r="D195" s="275"/>
      <c r="E195" s="275"/>
      <c r="F195" s="272"/>
      <c r="G195" s="108" t="s">
        <v>583</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v>-10000</v>
      </c>
      <c r="AD195" s="42">
        <v>70000</v>
      </c>
      <c r="AE195" s="42">
        <v>10000</v>
      </c>
      <c r="AF195" s="42">
        <v>60000</v>
      </c>
      <c r="AG195" s="42"/>
      <c r="AH195" s="42">
        <v>60000</v>
      </c>
      <c r="AI195" s="35"/>
      <c r="AK195" s="268"/>
    </row>
    <row r="196" spans="2:37" ht="37.5">
      <c r="B196" s="19"/>
      <c r="C196" s="19"/>
      <c r="D196" s="275"/>
      <c r="E196" s="275"/>
      <c r="F196" s="272"/>
      <c r="G196" s="108" t="s">
        <v>584</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8"/>
    </row>
    <row r="197" spans="2:37" ht="56.25">
      <c r="B197" s="19"/>
      <c r="C197" s="19"/>
      <c r="D197" s="275"/>
      <c r="E197" s="275"/>
      <c r="F197" s="272"/>
      <c r="G197" s="108" t="s">
        <v>108</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8"/>
    </row>
    <row r="198" spans="2:37" ht="56.25">
      <c r="B198" s="19"/>
      <c r="C198" s="19"/>
      <c r="D198" s="275"/>
      <c r="E198" s="275"/>
      <c r="F198" s="272"/>
      <c r="G198" s="108" t="s">
        <v>109</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f>83000+22000</f>
        <v>105000</v>
      </c>
      <c r="AD198" s="42">
        <f>45000-22000</f>
        <v>23000</v>
      </c>
      <c r="AE198" s="42"/>
      <c r="AF198" s="42"/>
      <c r="AG198" s="42"/>
      <c r="AH198" s="42"/>
      <c r="AI198" s="50">
        <f>121621+1541.49</f>
        <v>123162.49</v>
      </c>
      <c r="AK198" s="268"/>
    </row>
    <row r="199" spans="2:37" ht="75">
      <c r="B199" s="19"/>
      <c r="C199" s="19"/>
      <c r="D199" s="275"/>
      <c r="E199" s="275"/>
      <c r="F199" s="272"/>
      <c r="G199" s="108" t="s">
        <v>102</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f>2000+295000</f>
        <v>297000</v>
      </c>
      <c r="AD199" s="42">
        <f>200000-200000</f>
        <v>0</v>
      </c>
      <c r="AE199" s="42"/>
      <c r="AF199" s="42"/>
      <c r="AG199" s="42">
        <f>94263+1500-95000</f>
        <v>763</v>
      </c>
      <c r="AH199" s="42"/>
      <c r="AI199" s="50">
        <f>126138.9</f>
        <v>126138.9</v>
      </c>
      <c r="AK199" s="268"/>
    </row>
    <row r="200" spans="2:37" ht="37.5">
      <c r="B200" s="19"/>
      <c r="C200" s="19"/>
      <c r="D200" s="275"/>
      <c r="E200" s="275"/>
      <c r="F200" s="272"/>
      <c r="G200" s="108" t="s">
        <v>103</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f>180000-182000</f>
        <v>-2000</v>
      </c>
      <c r="AD200" s="42">
        <f>200000+87000</f>
        <v>287000</v>
      </c>
      <c r="AE200" s="42"/>
      <c r="AF200" s="42"/>
      <c r="AG200" s="42">
        <f>95000</f>
        <v>95000</v>
      </c>
      <c r="AH200" s="42">
        <v>300000</v>
      </c>
      <c r="AI200" s="35"/>
      <c r="AK200" s="268"/>
    </row>
    <row r="201" spans="2:37" ht="37.5">
      <c r="B201" s="19"/>
      <c r="C201" s="19"/>
      <c r="D201" s="275"/>
      <c r="E201" s="275"/>
      <c r="F201" s="272"/>
      <c r="G201" s="108" t="s">
        <v>104</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85000-85000-160000</f>
        <v>-160000</v>
      </c>
      <c r="AD201" s="42"/>
      <c r="AE201" s="42">
        <v>100000</v>
      </c>
      <c r="AF201" s="42">
        <v>10000</v>
      </c>
      <c r="AG201" s="42">
        <f>150000-150000</f>
        <v>0</v>
      </c>
      <c r="AH201" s="42">
        <v>50000</v>
      </c>
      <c r="AI201" s="50">
        <f>234905.4</f>
        <v>234905.4</v>
      </c>
      <c r="AK201" s="268"/>
    </row>
    <row r="202" spans="2:37" ht="37.5">
      <c r="B202" s="19"/>
      <c r="C202" s="19"/>
      <c r="D202" s="275"/>
      <c r="E202" s="275"/>
      <c r="F202" s="272"/>
      <c r="G202" s="108" t="s">
        <v>105</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v>1000</v>
      </c>
      <c r="AD202" s="42"/>
      <c r="AE202" s="42"/>
      <c r="AF202" s="42"/>
      <c r="AG202" s="42">
        <v>200000</v>
      </c>
      <c r="AH202" s="42">
        <f>280000-144000-1000</f>
        <v>135000</v>
      </c>
      <c r="AI202" s="50">
        <f>294000</f>
        <v>294000</v>
      </c>
      <c r="AK202" s="268"/>
    </row>
    <row r="203" spans="2:37" ht="112.5">
      <c r="B203" s="19"/>
      <c r="C203" s="19"/>
      <c r="D203" s="275"/>
      <c r="E203" s="275"/>
      <c r="F203" s="272"/>
      <c r="G203" s="108" t="s">
        <v>180</v>
      </c>
      <c r="H203" s="50"/>
      <c r="I203" s="92"/>
      <c r="J203" s="117"/>
      <c r="K203" s="35"/>
      <c r="L203" s="35"/>
      <c r="M203" s="35"/>
      <c r="N203" s="91">
        <v>3132</v>
      </c>
      <c r="O203" s="35"/>
      <c r="P203" s="121"/>
      <c r="Q203" s="50">
        <v>82149</v>
      </c>
      <c r="R203" s="50"/>
      <c r="S203" s="50"/>
      <c r="T203" s="50" t="s">
        <v>600</v>
      </c>
      <c r="U203" s="50"/>
      <c r="V203" s="50">
        <v>82149</v>
      </c>
      <c r="W203" s="35"/>
      <c r="X203" s="35"/>
      <c r="Y203" s="35"/>
      <c r="Z203" s="42">
        <v>82149</v>
      </c>
      <c r="AA203" s="42"/>
      <c r="AB203" s="42"/>
      <c r="AC203" s="42"/>
      <c r="AD203" s="42"/>
      <c r="AE203" s="42"/>
      <c r="AF203" s="42"/>
      <c r="AG203" s="42"/>
      <c r="AH203" s="42"/>
      <c r="AI203" s="50">
        <f>80662.44</f>
        <v>80662.44</v>
      </c>
      <c r="AK203" s="268"/>
    </row>
    <row r="204" spans="2:37" ht="75">
      <c r="B204" s="19"/>
      <c r="C204" s="19"/>
      <c r="D204" s="275"/>
      <c r="E204" s="275"/>
      <c r="F204" s="272"/>
      <c r="G204" s="108" t="s">
        <v>560</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135000+120000-210000</f>
        <v>45000</v>
      </c>
      <c r="AD204" s="42">
        <v>60000</v>
      </c>
      <c r="AE204" s="42">
        <v>150000</v>
      </c>
      <c r="AF204" s="42"/>
      <c r="AG204" s="42">
        <v>16000</v>
      </c>
      <c r="AH204" s="42">
        <v>325000</v>
      </c>
      <c r="AI204" s="50">
        <f>3600+8400</f>
        <v>12000</v>
      </c>
      <c r="AK204" s="268"/>
    </row>
    <row r="205" spans="2:37" ht="75">
      <c r="B205" s="19"/>
      <c r="C205" s="19"/>
      <c r="D205" s="275"/>
      <c r="E205" s="275"/>
      <c r="F205" s="272"/>
      <c r="G205" s="108" t="s">
        <v>114</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f>80000-30000</f>
        <v>50000</v>
      </c>
      <c r="AD205" s="42">
        <v>110000</v>
      </c>
      <c r="AE205" s="42">
        <v>100000</v>
      </c>
      <c r="AF205" s="42"/>
      <c r="AG205" s="42">
        <f>150000+7500</f>
        <v>157500</v>
      </c>
      <c r="AH205" s="42">
        <f>30000</f>
        <v>30000</v>
      </c>
      <c r="AI205" s="50">
        <f>2160+5040</f>
        <v>7200</v>
      </c>
      <c r="AK205" s="268"/>
    </row>
    <row r="206" spans="2:37" ht="75">
      <c r="B206" s="19"/>
      <c r="C206" s="19"/>
      <c r="D206" s="275"/>
      <c r="E206" s="275"/>
      <c r="F206" s="272"/>
      <c r="G206" s="108" t="s">
        <v>115</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f>1800+4200</f>
        <v>6000</v>
      </c>
      <c r="AK206" s="268"/>
    </row>
    <row r="207" spans="2:37" ht="75">
      <c r="B207" s="19"/>
      <c r="C207" s="19"/>
      <c r="D207" s="275"/>
      <c r="E207" s="275"/>
      <c r="F207" s="272"/>
      <c r="G207" s="108" t="s">
        <v>576</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50">
        <f>7200</f>
        <v>7200</v>
      </c>
      <c r="AK207" s="268"/>
    </row>
    <row r="208" spans="2:37" ht="56.25">
      <c r="B208" s="19"/>
      <c r="C208" s="19"/>
      <c r="D208" s="275"/>
      <c r="E208" s="275"/>
      <c r="F208" s="272"/>
      <c r="G208" s="108" t="s">
        <v>577</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f>
        <v>135000</v>
      </c>
      <c r="AD208" s="42"/>
      <c r="AE208" s="42"/>
      <c r="AF208" s="42"/>
      <c r="AG208" s="42">
        <v>2000</v>
      </c>
      <c r="AH208" s="42"/>
      <c r="AI208" s="35"/>
      <c r="AK208" s="268"/>
    </row>
    <row r="209" spans="2:37" ht="75">
      <c r="B209" s="19"/>
      <c r="C209" s="19"/>
      <c r="D209" s="275"/>
      <c r="E209" s="275"/>
      <c r="F209" s="272"/>
      <c r="G209" s="108" t="s">
        <v>578</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8"/>
    </row>
    <row r="210" spans="2:37" ht="56.25">
      <c r="B210" s="19"/>
      <c r="C210" s="19"/>
      <c r="D210" s="275"/>
      <c r="E210" s="275"/>
      <c r="F210" s="272"/>
      <c r="G210" s="108" t="s">
        <v>220</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8"/>
    </row>
    <row r="211" spans="2:37" ht="56.25">
      <c r="B211" s="19"/>
      <c r="C211" s="19"/>
      <c r="D211" s="275"/>
      <c r="E211" s="275"/>
      <c r="F211" s="272"/>
      <c r="G211" s="108" t="s">
        <v>221</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8"/>
    </row>
    <row r="212" spans="2:37" ht="75">
      <c r="B212" s="19"/>
      <c r="C212" s="19"/>
      <c r="D212" s="275"/>
      <c r="E212" s="275"/>
      <c r="F212" s="272"/>
      <c r="G212" s="108" t="s">
        <v>79</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8"/>
    </row>
    <row r="213" spans="2:37" ht="56.25">
      <c r="B213" s="19"/>
      <c r="C213" s="19"/>
      <c r="D213" s="275"/>
      <c r="E213" s="275"/>
      <c r="F213" s="272"/>
      <c r="G213" s="108" t="s">
        <v>80</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8"/>
    </row>
    <row r="214" spans="2:37" ht="56.25">
      <c r="B214" s="19"/>
      <c r="C214" s="19"/>
      <c r="D214" s="275"/>
      <c r="E214" s="275"/>
      <c r="F214" s="272"/>
      <c r="G214" s="108" t="s">
        <v>81</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f>73000-8000</f>
        <v>65000</v>
      </c>
      <c r="AD214" s="42">
        <v>60000</v>
      </c>
      <c r="AE214" s="42"/>
      <c r="AF214" s="42"/>
      <c r="AG214" s="42">
        <v>17000</v>
      </c>
      <c r="AH214" s="42">
        <f>8000</f>
        <v>8000</v>
      </c>
      <c r="AI214" s="50">
        <f>5162.2+144351.5</f>
        <v>149513.7</v>
      </c>
      <c r="AK214" s="268"/>
    </row>
    <row r="215" spans="2:37" ht="56.25">
      <c r="B215" s="19"/>
      <c r="C215" s="19"/>
      <c r="D215" s="275"/>
      <c r="E215" s="275"/>
      <c r="F215" s="272"/>
      <c r="G215" s="108" t="s">
        <v>82</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v>1500</v>
      </c>
      <c r="AD215" s="42">
        <v>12500</v>
      </c>
      <c r="AE215" s="42"/>
      <c r="AF215" s="42">
        <v>16000</v>
      </c>
      <c r="AG215" s="42"/>
      <c r="AH215" s="42">
        <v>20000</v>
      </c>
      <c r="AI215" s="35"/>
      <c r="AK215" s="268"/>
    </row>
    <row r="216" spans="2:37" ht="93.75">
      <c r="B216" s="19"/>
      <c r="C216" s="19"/>
      <c r="D216" s="275"/>
      <c r="E216" s="275"/>
      <c r="F216" s="272"/>
      <c r="G216" s="108" t="s">
        <v>83</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8"/>
    </row>
    <row r="217" spans="2:37" ht="56.25">
      <c r="B217" s="19"/>
      <c r="C217" s="19"/>
      <c r="D217" s="275"/>
      <c r="E217" s="275"/>
      <c r="F217" s="272"/>
      <c r="G217" s="108" t="s">
        <v>84</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8"/>
    </row>
    <row r="218" spans="2:37" ht="37.5">
      <c r="B218" s="19"/>
      <c r="C218" s="19"/>
      <c r="D218" s="275"/>
      <c r="E218" s="275"/>
      <c r="F218" s="272"/>
      <c r="G218" s="108" t="s">
        <v>85</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8"/>
    </row>
    <row r="219" spans="2:37" ht="56.25">
      <c r="B219" s="19"/>
      <c r="C219" s="19"/>
      <c r="D219" s="275"/>
      <c r="E219" s="275"/>
      <c r="F219" s="272"/>
      <c r="G219" s="108" t="s">
        <v>86</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8"/>
    </row>
    <row r="220" spans="2:37" ht="37.5">
      <c r="B220" s="19"/>
      <c r="C220" s="19"/>
      <c r="D220" s="275"/>
      <c r="E220" s="275"/>
      <c r="F220" s="272"/>
      <c r="G220" s="108" t="s">
        <v>87</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f>135000-65000</f>
        <v>70000</v>
      </c>
      <c r="AD220" s="42">
        <v>35000</v>
      </c>
      <c r="AE220" s="42">
        <v>65000</v>
      </c>
      <c r="AF220" s="42"/>
      <c r="AG220" s="42">
        <v>94000</v>
      </c>
      <c r="AH220" s="42">
        <f>200000+26000</f>
        <v>226000</v>
      </c>
      <c r="AI220" s="35"/>
      <c r="AK220" s="268"/>
    </row>
    <row r="221" spans="2:37" ht="56.25">
      <c r="B221" s="19"/>
      <c r="C221" s="19"/>
      <c r="D221" s="275"/>
      <c r="E221" s="275"/>
      <c r="F221" s="272"/>
      <c r="G221" s="108" t="s">
        <v>88</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v>400000</v>
      </c>
      <c r="AD221" s="42">
        <v>250000</v>
      </c>
      <c r="AE221" s="42"/>
      <c r="AF221" s="42">
        <v>37000</v>
      </c>
      <c r="AG221" s="42"/>
      <c r="AH221" s="42">
        <f>300000-20000</f>
        <v>280000</v>
      </c>
      <c r="AI221" s="50">
        <v>20000</v>
      </c>
      <c r="AK221" s="268"/>
    </row>
    <row r="222" spans="2:37" ht="56.25">
      <c r="B222" s="19"/>
      <c r="C222" s="19"/>
      <c r="D222" s="275"/>
      <c r="E222" s="275"/>
      <c r="F222" s="272"/>
      <c r="G222" s="108" t="s">
        <v>89</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8"/>
    </row>
    <row r="223" spans="2:37" ht="37.5">
      <c r="B223" s="19"/>
      <c r="C223" s="19"/>
      <c r="D223" s="275"/>
      <c r="E223" s="275"/>
      <c r="F223" s="272"/>
      <c r="G223" s="108" t="s">
        <v>90</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f>115000-110000</f>
        <v>5000</v>
      </c>
      <c r="AD223" s="42"/>
      <c r="AE223" s="42">
        <v>110000</v>
      </c>
      <c r="AF223" s="42"/>
      <c r="AG223" s="42">
        <f>150000-120000</f>
        <v>30000</v>
      </c>
      <c r="AH223" s="42">
        <f>110000-105000</f>
        <v>5000</v>
      </c>
      <c r="AI223" s="50">
        <f>5987.6+239000+100501.67</f>
        <v>345489.27</v>
      </c>
      <c r="AK223" s="268"/>
    </row>
    <row r="224" spans="2:37" ht="37.5">
      <c r="B224" s="19"/>
      <c r="C224" s="19"/>
      <c r="D224" s="275"/>
      <c r="E224" s="275"/>
      <c r="F224" s="272"/>
      <c r="G224" s="108" t="s">
        <v>91</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v>-70000</v>
      </c>
      <c r="AD224" s="42"/>
      <c r="AE224" s="42">
        <f>85000+70000</f>
        <v>155000</v>
      </c>
      <c r="AF224" s="42"/>
      <c r="AG224" s="42"/>
      <c r="AH224" s="42"/>
      <c r="AI224" s="50">
        <f>148376+1050</f>
        <v>149426</v>
      </c>
      <c r="AK224" s="268"/>
    </row>
    <row r="225" spans="2:37" ht="56.25">
      <c r="B225" s="19"/>
      <c r="C225" s="19"/>
      <c r="D225" s="275"/>
      <c r="E225" s="275"/>
      <c r="F225" s="272"/>
      <c r="G225" s="108" t="s">
        <v>92</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v>-45000</v>
      </c>
      <c r="AD225" s="42"/>
      <c r="AE225" s="42">
        <v>45000</v>
      </c>
      <c r="AF225" s="42"/>
      <c r="AG225" s="42"/>
      <c r="AH225" s="42"/>
      <c r="AI225" s="35"/>
      <c r="AK225" s="268"/>
    </row>
    <row r="226" spans="2:37" ht="37.5">
      <c r="B226" s="19"/>
      <c r="C226" s="19"/>
      <c r="D226" s="275"/>
      <c r="E226" s="275"/>
      <c r="F226" s="272"/>
      <c r="G226" s="108" t="s">
        <v>93</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8"/>
    </row>
    <row r="227" spans="2:37" ht="56.25">
      <c r="B227" s="19"/>
      <c r="C227" s="19"/>
      <c r="D227" s="275"/>
      <c r="E227" s="275"/>
      <c r="F227" s="272"/>
      <c r="G227" s="108" t="s">
        <v>94</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8"/>
    </row>
    <row r="228" spans="2:37" ht="37.5">
      <c r="B228" s="19"/>
      <c r="C228" s="19"/>
      <c r="D228" s="275"/>
      <c r="E228" s="275"/>
      <c r="F228" s="272"/>
      <c r="G228" s="108" t="s">
        <v>95</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50">
        <f>48639</f>
        <v>48639</v>
      </c>
      <c r="AK228" s="268"/>
    </row>
    <row r="229" spans="2:37" ht="37.5">
      <c r="B229" s="19"/>
      <c r="C229" s="19"/>
      <c r="D229" s="275"/>
      <c r="E229" s="275"/>
      <c r="F229" s="272"/>
      <c r="G229" s="108" t="s">
        <v>96</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50">
        <f>58923</f>
        <v>58923</v>
      </c>
      <c r="AK229" s="268"/>
    </row>
    <row r="230" spans="2:37" ht="56.25">
      <c r="B230" s="19"/>
      <c r="C230" s="19"/>
      <c r="D230" s="275"/>
      <c r="E230" s="275"/>
      <c r="F230" s="272"/>
      <c r="G230" s="108" t="s">
        <v>97</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8"/>
    </row>
    <row r="231" spans="2:37" ht="37.5">
      <c r="B231" s="19"/>
      <c r="C231" s="19"/>
      <c r="D231" s="275"/>
      <c r="E231" s="275"/>
      <c r="F231" s="272"/>
      <c r="G231" s="108" t="s">
        <v>98</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8"/>
    </row>
    <row r="232" spans="2:37" ht="56.25">
      <c r="B232" s="19"/>
      <c r="C232" s="19"/>
      <c r="D232" s="275"/>
      <c r="E232" s="275"/>
      <c r="F232" s="272"/>
      <c r="G232" s="108" t="s">
        <v>99</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8"/>
    </row>
    <row r="233" spans="2:37" ht="56.25">
      <c r="B233" s="19"/>
      <c r="C233" s="19"/>
      <c r="D233" s="275"/>
      <c r="E233" s="275"/>
      <c r="F233" s="272"/>
      <c r="G233" s="108" t="s">
        <v>100</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49111+1778</f>
        <v>50889</v>
      </c>
      <c r="AK233" s="268"/>
    </row>
    <row r="234" spans="2:37" ht="93.75">
      <c r="B234" s="19"/>
      <c r="C234" s="19"/>
      <c r="D234" s="275"/>
      <c r="E234" s="275"/>
      <c r="F234" s="272"/>
      <c r="G234" s="108" t="s">
        <v>228</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8"/>
    </row>
    <row r="235" spans="2:37" ht="56.25">
      <c r="B235" s="19"/>
      <c r="C235" s="19"/>
      <c r="D235" s="275"/>
      <c r="E235" s="275"/>
      <c r="F235" s="272"/>
      <c r="G235" s="108" t="s">
        <v>229</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35"/>
      <c r="AK235" s="268"/>
    </row>
    <row r="236" spans="2:37" ht="36" hidden="1">
      <c r="B236" s="19"/>
      <c r="C236" s="19"/>
      <c r="D236" s="275"/>
      <c r="E236" s="275"/>
      <c r="F236" s="272"/>
      <c r="G236" s="108" t="s">
        <v>230</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8"/>
    </row>
    <row r="237" spans="2:37" ht="56.25">
      <c r="B237" s="19"/>
      <c r="C237" s="19"/>
      <c r="D237" s="275"/>
      <c r="E237" s="275"/>
      <c r="F237" s="272"/>
      <c r="G237" s="108" t="s">
        <v>231</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v>45000</v>
      </c>
      <c r="AD237" s="42"/>
      <c r="AE237" s="42"/>
      <c r="AF237" s="42"/>
      <c r="AG237" s="42"/>
      <c r="AH237" s="42"/>
      <c r="AI237" s="50">
        <f>1011.67</f>
        <v>1011.67</v>
      </c>
      <c r="AK237" s="268"/>
    </row>
    <row r="238" spans="2:37" ht="37.5">
      <c r="B238" s="19"/>
      <c r="C238" s="19"/>
      <c r="D238" s="275"/>
      <c r="E238" s="275"/>
      <c r="F238" s="272"/>
      <c r="G238" s="108" t="s">
        <v>713</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8"/>
    </row>
    <row r="239" spans="2:37" ht="37.5">
      <c r="B239" s="19"/>
      <c r="C239" s="19"/>
      <c r="D239" s="275"/>
      <c r="E239" s="275"/>
      <c r="F239" s="272"/>
      <c r="G239" s="108" t="s">
        <v>232</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8"/>
    </row>
    <row r="240" spans="2:37" ht="37.5">
      <c r="B240" s="19"/>
      <c r="C240" s="19"/>
      <c r="D240" s="275"/>
      <c r="E240" s="275"/>
      <c r="F240" s="272"/>
      <c r="G240" s="108" t="s">
        <v>233</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8"/>
    </row>
    <row r="241" spans="2:37" ht="56.25">
      <c r="B241" s="19"/>
      <c r="C241" s="19"/>
      <c r="D241" s="275"/>
      <c r="E241" s="275"/>
      <c r="F241" s="272"/>
      <c r="G241" s="108" t="s">
        <v>234</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8"/>
    </row>
    <row r="242" spans="2:37" ht="56.25">
      <c r="B242" s="19"/>
      <c r="C242" s="19"/>
      <c r="D242" s="275"/>
      <c r="E242" s="275"/>
      <c r="F242" s="272"/>
      <c r="G242" s="108" t="s">
        <v>235</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f>38090.95+38090.95</f>
        <v>76181.9</v>
      </c>
      <c r="AK242" s="268"/>
    </row>
    <row r="243" spans="2:37" ht="56.25">
      <c r="B243" s="19"/>
      <c r="C243" s="19"/>
      <c r="D243" s="275"/>
      <c r="E243" s="275"/>
      <c r="F243" s="272"/>
      <c r="G243" s="108" t="s">
        <v>236</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8"/>
    </row>
    <row r="244" spans="2:37" ht="56.25">
      <c r="B244" s="19"/>
      <c r="C244" s="19"/>
      <c r="D244" s="275"/>
      <c r="E244" s="275"/>
      <c r="F244" s="272"/>
      <c r="G244" s="108" t="s">
        <v>237</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50">
        <f>4085+41103.3</f>
        <v>45188.3</v>
      </c>
      <c r="AK244" s="268"/>
    </row>
    <row r="245" spans="2:37" ht="36" hidden="1">
      <c r="B245" s="19"/>
      <c r="C245" s="19"/>
      <c r="D245" s="275"/>
      <c r="E245" s="275"/>
      <c r="F245" s="272"/>
      <c r="G245" s="108" t="s">
        <v>238</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8"/>
    </row>
    <row r="246" spans="2:37" ht="36" hidden="1">
      <c r="B246" s="19"/>
      <c r="C246" s="19"/>
      <c r="D246" s="275"/>
      <c r="E246" s="275"/>
      <c r="F246" s="272"/>
      <c r="G246" s="108" t="s">
        <v>239</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8"/>
    </row>
    <row r="247" spans="2:37" ht="56.25">
      <c r="B247" s="19"/>
      <c r="C247" s="19"/>
      <c r="D247" s="275"/>
      <c r="E247" s="275"/>
      <c r="F247" s="272"/>
      <c r="G247" s="108" t="s">
        <v>240</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8"/>
    </row>
    <row r="248" spans="2:37" ht="90" hidden="1">
      <c r="B248" s="19"/>
      <c r="C248" s="19"/>
      <c r="D248" s="275"/>
      <c r="E248" s="275"/>
      <c r="F248" s="272"/>
      <c r="G248" s="52" t="s">
        <v>171</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8"/>
    </row>
    <row r="249" spans="2:37" ht="18.75">
      <c r="B249" s="19"/>
      <c r="C249" s="19"/>
      <c r="D249" s="277" t="s">
        <v>340</v>
      </c>
      <c r="E249" s="277" t="s">
        <v>282</v>
      </c>
      <c r="F249" s="271" t="s">
        <v>568</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950316.6100000001</v>
      </c>
      <c r="AK249" s="268"/>
    </row>
    <row r="250" spans="2:37" ht="131.25">
      <c r="B250" s="19"/>
      <c r="C250" s="19"/>
      <c r="D250" s="278"/>
      <c r="E250" s="278"/>
      <c r="F250" s="272"/>
      <c r="G250" s="94" t="s">
        <v>717</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8"/>
    </row>
    <row r="251" spans="2:37" ht="112.5">
      <c r="B251" s="19"/>
      <c r="C251" s="19"/>
      <c r="D251" s="278"/>
      <c r="E251" s="278"/>
      <c r="F251" s="272"/>
      <c r="G251" s="94" t="s">
        <v>718</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8"/>
    </row>
    <row r="252" spans="2:37" ht="150">
      <c r="B252" s="19"/>
      <c r="C252" s="19"/>
      <c r="D252" s="278"/>
      <c r="E252" s="278"/>
      <c r="F252" s="272"/>
      <c r="G252" s="94" t="s">
        <v>705</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8"/>
    </row>
    <row r="253" spans="2:37" ht="112.5">
      <c r="B253" s="19"/>
      <c r="C253" s="19"/>
      <c r="D253" s="278"/>
      <c r="E253" s="278"/>
      <c r="F253" s="272"/>
      <c r="G253" s="94" t="s">
        <v>612</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8"/>
    </row>
    <row r="254" spans="2:37" ht="37.5">
      <c r="B254" s="19"/>
      <c r="C254" s="19"/>
      <c r="D254" s="278"/>
      <c r="E254" s="278"/>
      <c r="F254" s="272"/>
      <c r="G254" s="108" t="s">
        <v>613</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8"/>
    </row>
    <row r="255" spans="2:37" ht="56.25">
      <c r="B255" s="19"/>
      <c r="C255" s="19"/>
      <c r="D255" s="278"/>
      <c r="E255" s="278"/>
      <c r="F255" s="272"/>
      <c r="G255" s="94" t="s">
        <v>614</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8"/>
    </row>
    <row r="256" spans="2:37" ht="56.25">
      <c r="B256" s="19"/>
      <c r="C256" s="19"/>
      <c r="D256" s="278"/>
      <c r="E256" s="278"/>
      <c r="F256" s="272"/>
      <c r="G256" s="94" t="s">
        <v>250</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8"/>
    </row>
    <row r="257" spans="2:37" ht="56.25">
      <c r="B257" s="19"/>
      <c r="C257" s="19"/>
      <c r="D257" s="278"/>
      <c r="E257" s="278"/>
      <c r="F257" s="272"/>
      <c r="G257" s="94" t="s">
        <v>251</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8"/>
    </row>
    <row r="258" spans="2:37" ht="56.25">
      <c r="B258" s="19"/>
      <c r="C258" s="19"/>
      <c r="D258" s="278"/>
      <c r="E258" s="278"/>
      <c r="F258" s="272"/>
      <c r="G258" s="94" t="s">
        <v>252</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8"/>
    </row>
    <row r="259" spans="2:37" ht="131.25">
      <c r="B259" s="19"/>
      <c r="C259" s="19"/>
      <c r="D259" s="278"/>
      <c r="E259" s="278"/>
      <c r="F259" s="272"/>
      <c r="G259" s="94" t="s">
        <v>440</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8"/>
    </row>
    <row r="260" spans="2:37" ht="56.25">
      <c r="B260" s="19"/>
      <c r="C260" s="19"/>
      <c r="D260" s="278"/>
      <c r="E260" s="278"/>
      <c r="F260" s="272"/>
      <c r="G260" s="94" t="s">
        <v>664</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8"/>
    </row>
    <row r="261" spans="2:37" ht="56.25">
      <c r="B261" s="19"/>
      <c r="C261" s="19"/>
      <c r="D261" s="278"/>
      <c r="E261" s="278"/>
      <c r="F261" s="272"/>
      <c r="G261" s="94" t="s">
        <v>665</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8"/>
    </row>
    <row r="262" spans="2:37" ht="56.25">
      <c r="B262" s="19"/>
      <c r="C262" s="19"/>
      <c r="D262" s="278"/>
      <c r="E262" s="278"/>
      <c r="F262" s="272"/>
      <c r="G262" s="94" t="s">
        <v>223</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8"/>
    </row>
    <row r="263" spans="2:37" ht="75">
      <c r="B263" s="19"/>
      <c r="C263" s="19"/>
      <c r="D263" s="278"/>
      <c r="E263" s="278"/>
      <c r="F263" s="272"/>
      <c r="G263" s="94" t="s">
        <v>666</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8"/>
    </row>
    <row r="264" spans="2:37" ht="56.25">
      <c r="B264" s="19"/>
      <c r="C264" s="19"/>
      <c r="D264" s="278"/>
      <c r="E264" s="278"/>
      <c r="F264" s="272"/>
      <c r="G264" s="94" t="s">
        <v>667</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8"/>
    </row>
    <row r="265" spans="2:37" ht="56.25">
      <c r="B265" s="19"/>
      <c r="C265" s="19"/>
      <c r="D265" s="278"/>
      <c r="E265" s="278"/>
      <c r="F265" s="272"/>
      <c r="G265" s="94" t="s">
        <v>248</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8"/>
    </row>
    <row r="266" spans="2:37" ht="37.5">
      <c r="B266" s="19"/>
      <c r="C266" s="19"/>
      <c r="D266" s="278"/>
      <c r="E266" s="278"/>
      <c r="F266" s="272"/>
      <c r="G266" s="94" t="s">
        <v>212</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8"/>
    </row>
    <row r="267" spans="2:37" ht="56.25">
      <c r="B267" s="19"/>
      <c r="C267" s="19"/>
      <c r="D267" s="278"/>
      <c r="E267" s="278"/>
      <c r="F267" s="272"/>
      <c r="G267" s="94" t="s">
        <v>384</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8"/>
    </row>
    <row r="268" spans="2:37" ht="18.75">
      <c r="B268" s="19"/>
      <c r="C268" s="19"/>
      <c r="D268" s="282" t="s">
        <v>249</v>
      </c>
      <c r="E268" s="282" t="s">
        <v>216</v>
      </c>
      <c r="F268" s="269" t="s">
        <v>253</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8"/>
    </row>
    <row r="269" spans="2:37" ht="93.75">
      <c r="B269" s="19"/>
      <c r="C269" s="19"/>
      <c r="D269" s="282"/>
      <c r="E269" s="282"/>
      <c r="F269" s="269"/>
      <c r="G269" s="108" t="s">
        <v>254</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8"/>
    </row>
    <row r="270" spans="2:37" ht="18.75">
      <c r="B270" s="19"/>
      <c r="C270" s="19"/>
      <c r="D270" s="277" t="s">
        <v>341</v>
      </c>
      <c r="E270" s="277" t="s">
        <v>216</v>
      </c>
      <c r="F270" s="271" t="s">
        <v>215</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8"/>
    </row>
    <row r="271" spans="2:37" ht="75">
      <c r="B271" s="19"/>
      <c r="C271" s="19"/>
      <c r="D271" s="278"/>
      <c r="E271" s="278"/>
      <c r="F271" s="272"/>
      <c r="G271" s="129" t="s">
        <v>255</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8"/>
    </row>
    <row r="272" spans="2:37" ht="56.25">
      <c r="B272" s="19"/>
      <c r="C272" s="19"/>
      <c r="D272" s="278"/>
      <c r="E272" s="278"/>
      <c r="F272" s="272"/>
      <c r="G272" s="129" t="s">
        <v>256</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8"/>
    </row>
    <row r="273" spans="2:37" ht="18.75">
      <c r="B273" s="19"/>
      <c r="C273" s="19"/>
      <c r="D273" s="277" t="s">
        <v>301</v>
      </c>
      <c r="E273" s="277" t="s">
        <v>300</v>
      </c>
      <c r="F273" s="271" t="s">
        <v>349</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8"/>
    </row>
    <row r="274" spans="2:37" ht="56.25">
      <c r="B274" s="19"/>
      <c r="C274" s="19"/>
      <c r="D274" s="278"/>
      <c r="E274" s="278"/>
      <c r="F274" s="272"/>
      <c r="G274" s="94" t="s">
        <v>257</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8"/>
    </row>
    <row r="275" spans="2:37" ht="56.25">
      <c r="B275" s="19"/>
      <c r="C275" s="19"/>
      <c r="D275" s="278"/>
      <c r="E275" s="278"/>
      <c r="F275" s="272"/>
      <c r="G275" s="94" t="s">
        <v>630</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8"/>
    </row>
    <row r="276" spans="2:37" ht="56.25">
      <c r="B276" s="19"/>
      <c r="C276" s="19"/>
      <c r="D276" s="278"/>
      <c r="E276" s="278"/>
      <c r="F276" s="272"/>
      <c r="G276" s="94" t="s">
        <v>631</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8"/>
    </row>
    <row r="277" spans="2:37" ht="56.25">
      <c r="B277" s="19"/>
      <c r="C277" s="19"/>
      <c r="D277" s="278"/>
      <c r="E277" s="278"/>
      <c r="F277" s="272"/>
      <c r="G277" s="94" t="s">
        <v>632</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8"/>
    </row>
    <row r="278" spans="2:37" ht="18.75">
      <c r="B278" s="24"/>
      <c r="C278" s="24"/>
      <c r="D278" s="274" t="s">
        <v>302</v>
      </c>
      <c r="E278" s="274" t="s">
        <v>305</v>
      </c>
      <c r="F278" s="271" t="s">
        <v>342</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162500</v>
      </c>
      <c r="AC278" s="49">
        <f t="shared" si="27"/>
        <v>150000</v>
      </c>
      <c r="AD278" s="49">
        <f t="shared" si="27"/>
        <v>429600</v>
      </c>
      <c r="AE278" s="49">
        <f t="shared" si="27"/>
        <v>0</v>
      </c>
      <c r="AF278" s="49">
        <f t="shared" si="27"/>
        <v>35000</v>
      </c>
      <c r="AG278" s="49">
        <f t="shared" si="27"/>
        <v>150000</v>
      </c>
      <c r="AH278" s="49">
        <f t="shared" si="27"/>
        <v>300000</v>
      </c>
      <c r="AI278" s="49">
        <f t="shared" si="27"/>
        <v>125460.7</v>
      </c>
      <c r="AK278" s="268"/>
    </row>
    <row r="279" spans="2:37" ht="37.5">
      <c r="B279" s="24"/>
      <c r="C279" s="24"/>
      <c r="D279" s="275"/>
      <c r="E279" s="275"/>
      <c r="F279" s="272"/>
      <c r="G279" s="108" t="s">
        <v>633</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8"/>
    </row>
    <row r="280" spans="2:37" ht="37.5">
      <c r="B280" s="24"/>
      <c r="C280" s="24"/>
      <c r="D280" s="275"/>
      <c r="E280" s="275"/>
      <c r="F280" s="272"/>
      <c r="G280" s="129" t="s">
        <v>634</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8"/>
    </row>
    <row r="281" spans="2:37" ht="37.5">
      <c r="B281" s="24"/>
      <c r="C281" s="24"/>
      <c r="D281" s="275"/>
      <c r="E281" s="275"/>
      <c r="F281" s="272"/>
      <c r="G281" s="129" t="s">
        <v>397</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8"/>
    </row>
    <row r="282" spans="2:37" ht="56.25">
      <c r="B282" s="24"/>
      <c r="C282" s="24"/>
      <c r="D282" s="275"/>
      <c r="E282" s="275"/>
      <c r="F282" s="272"/>
      <c r="G282" s="108" t="s">
        <v>635</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f>135000-30000</f>
        <v>105000</v>
      </c>
      <c r="AD282" s="42">
        <v>100000</v>
      </c>
      <c r="AE282" s="42"/>
      <c r="AF282" s="42">
        <v>5000</v>
      </c>
      <c r="AG282" s="42">
        <v>30000</v>
      </c>
      <c r="AH282" s="42"/>
      <c r="AI282" s="42"/>
      <c r="AK282" s="268"/>
    </row>
    <row r="283" spans="2:37" ht="75">
      <c r="B283" s="24"/>
      <c r="C283" s="24"/>
      <c r="D283" s="275"/>
      <c r="E283" s="275"/>
      <c r="F283" s="272"/>
      <c r="G283" s="108" t="s">
        <v>198</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f>30000</f>
        <v>30000</v>
      </c>
      <c r="AD283" s="42"/>
      <c r="AE283" s="42"/>
      <c r="AF283" s="42"/>
      <c r="AG283" s="42">
        <f>150000-30000</f>
        <v>120000</v>
      </c>
      <c r="AH283" s="42">
        <v>230000</v>
      </c>
      <c r="AI283" s="42"/>
      <c r="AK283" s="268"/>
    </row>
    <row r="284" spans="2:37" ht="37.5">
      <c r="B284" s="24"/>
      <c r="C284" s="24"/>
      <c r="D284" s="275"/>
      <c r="E284" s="275"/>
      <c r="F284" s="272"/>
      <c r="G284" s="130" t="s">
        <v>199</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f>5116.2+120344.5</f>
        <v>125460.7</v>
      </c>
      <c r="AK284" s="268"/>
    </row>
    <row r="285" spans="2:37" ht="18.75">
      <c r="B285" s="24"/>
      <c r="C285" s="24"/>
      <c r="D285" s="283" t="s">
        <v>200</v>
      </c>
      <c r="E285" s="282" t="s">
        <v>305</v>
      </c>
      <c r="F285" s="269" t="s">
        <v>201</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8"/>
    </row>
    <row r="286" spans="2:37" ht="56.25">
      <c r="B286" s="24"/>
      <c r="C286" s="24"/>
      <c r="D286" s="283"/>
      <c r="E286" s="282"/>
      <c r="F286" s="269"/>
      <c r="G286" s="130" t="s">
        <v>202</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8"/>
    </row>
    <row r="287" spans="2:37" ht="56.25">
      <c r="B287" s="24"/>
      <c r="C287" s="24"/>
      <c r="D287" s="283"/>
      <c r="E287" s="282"/>
      <c r="F287" s="269"/>
      <c r="G287" s="130" t="s">
        <v>203</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8"/>
    </row>
    <row r="288" spans="2:37" ht="75">
      <c r="B288" s="24"/>
      <c r="C288" s="24"/>
      <c r="D288" s="283"/>
      <c r="E288" s="282"/>
      <c r="F288" s="269"/>
      <c r="G288" s="130" t="s">
        <v>204</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8"/>
    </row>
    <row r="289" spans="2:37" ht="75">
      <c r="B289" s="24"/>
      <c r="C289" s="24"/>
      <c r="D289" s="283"/>
      <c r="E289" s="282"/>
      <c r="F289" s="269"/>
      <c r="G289" s="130" t="s">
        <v>308</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8"/>
    </row>
    <row r="290" spans="2:37" ht="56.25">
      <c r="B290" s="24"/>
      <c r="C290" s="24"/>
      <c r="D290" s="283"/>
      <c r="E290" s="282"/>
      <c r="F290" s="269"/>
      <c r="G290" s="130" t="s">
        <v>309</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8"/>
    </row>
    <row r="291" spans="2:37" ht="56.25">
      <c r="B291" s="24"/>
      <c r="C291" s="24"/>
      <c r="D291" s="283"/>
      <c r="E291" s="282"/>
      <c r="F291" s="269"/>
      <c r="G291" s="130" t="s">
        <v>205</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8"/>
    </row>
    <row r="292" spans="2:37" ht="75">
      <c r="B292" s="24"/>
      <c r="C292" s="24"/>
      <c r="D292" s="283"/>
      <c r="E292" s="282"/>
      <c r="F292" s="269"/>
      <c r="G292" s="130" t="s">
        <v>206</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8"/>
    </row>
    <row r="293" spans="2:37" ht="56.25">
      <c r="B293" s="24"/>
      <c r="C293" s="24"/>
      <c r="D293" s="283"/>
      <c r="E293" s="282"/>
      <c r="F293" s="269"/>
      <c r="G293" s="130" t="s">
        <v>259</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8"/>
    </row>
    <row r="294" spans="2:37" ht="75">
      <c r="B294" s="24"/>
      <c r="C294" s="24"/>
      <c r="D294" s="283"/>
      <c r="E294" s="282"/>
      <c r="F294" s="269"/>
      <c r="G294" s="130" t="s">
        <v>260</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8"/>
    </row>
    <row r="295" spans="2:37" ht="75">
      <c r="B295" s="24"/>
      <c r="C295" s="24"/>
      <c r="D295" s="283"/>
      <c r="E295" s="282"/>
      <c r="F295" s="269"/>
      <c r="G295" s="130" t="s">
        <v>719</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8"/>
    </row>
    <row r="296" spans="2:37" ht="56.25">
      <c r="B296" s="24"/>
      <c r="C296" s="24"/>
      <c r="D296" s="283"/>
      <c r="E296" s="282"/>
      <c r="F296" s="269"/>
      <c r="G296" s="130" t="s">
        <v>720</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8"/>
    </row>
    <row r="297" spans="2:37" ht="56.25">
      <c r="B297" s="24"/>
      <c r="C297" s="24"/>
      <c r="D297" s="283"/>
      <c r="E297" s="282"/>
      <c r="F297" s="269"/>
      <c r="G297" s="130" t="s">
        <v>721</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8"/>
    </row>
    <row r="298" spans="2:37" ht="56.25">
      <c r="B298" s="24"/>
      <c r="C298" s="24"/>
      <c r="D298" s="283"/>
      <c r="E298" s="282"/>
      <c r="F298" s="269"/>
      <c r="G298" s="130" t="s">
        <v>722</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8"/>
    </row>
    <row r="299" spans="2:37" ht="56.25">
      <c r="B299" s="24"/>
      <c r="C299" s="24"/>
      <c r="D299" s="283"/>
      <c r="E299" s="282"/>
      <c r="F299" s="269"/>
      <c r="G299" s="130" t="s">
        <v>723</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8"/>
    </row>
    <row r="300" spans="2:37" ht="56.25">
      <c r="B300" s="24"/>
      <c r="C300" s="24"/>
      <c r="D300" s="283"/>
      <c r="E300" s="282"/>
      <c r="F300" s="269"/>
      <c r="G300" s="130" t="s">
        <v>218</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8"/>
    </row>
    <row r="301" spans="2:37" ht="18.75">
      <c r="B301" s="19"/>
      <c r="C301" s="19"/>
      <c r="D301" s="277" t="s">
        <v>303</v>
      </c>
      <c r="E301" s="277" t="s">
        <v>306</v>
      </c>
      <c r="F301" s="271" t="s">
        <v>670</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327414.8</v>
      </c>
      <c r="AK301" s="268"/>
    </row>
    <row r="302" spans="2:37" ht="37.5">
      <c r="B302" s="19"/>
      <c r="C302" s="19"/>
      <c r="D302" s="278"/>
      <c r="E302" s="278"/>
      <c r="F302" s="272"/>
      <c r="G302" s="130" t="s">
        <v>219</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8"/>
    </row>
    <row r="303" spans="2:37" ht="37.5">
      <c r="B303" s="19"/>
      <c r="C303" s="19"/>
      <c r="D303" s="278"/>
      <c r="E303" s="278"/>
      <c r="F303" s="272"/>
      <c r="G303" s="130" t="s">
        <v>653</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8"/>
    </row>
    <row r="304" spans="2:37" ht="37.5">
      <c r="B304" s="19"/>
      <c r="C304" s="19"/>
      <c r="D304" s="278"/>
      <c r="E304" s="278"/>
      <c r="F304" s="272"/>
      <c r="G304" s="130" t="s">
        <v>654</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8"/>
    </row>
    <row r="305" spans="2:37" ht="37.5">
      <c r="B305" s="19"/>
      <c r="C305" s="19"/>
      <c r="D305" s="278"/>
      <c r="E305" s="278"/>
      <c r="F305" s="272"/>
      <c r="G305" s="130" t="s">
        <v>655</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8"/>
    </row>
    <row r="306" spans="2:37" ht="37.5">
      <c r="B306" s="19"/>
      <c r="C306" s="19"/>
      <c r="D306" s="278"/>
      <c r="E306" s="278"/>
      <c r="F306" s="272"/>
      <c r="G306" s="130" t="s">
        <v>656</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v>20080</v>
      </c>
      <c r="AK306" s="268"/>
    </row>
    <row r="307" spans="2:37" ht="37.5">
      <c r="B307" s="19"/>
      <c r="C307" s="19"/>
      <c r="D307" s="278"/>
      <c r="E307" s="278"/>
      <c r="F307" s="272"/>
      <c r="G307" s="130" t="s">
        <v>659</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8"/>
    </row>
    <row r="308" spans="2:37" ht="37.5">
      <c r="B308" s="19"/>
      <c r="C308" s="19"/>
      <c r="D308" s="278"/>
      <c r="E308" s="278"/>
      <c r="F308" s="272"/>
      <c r="G308" s="130" t="s">
        <v>660</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8"/>
    </row>
    <row r="309" spans="2:37" ht="37.5">
      <c r="B309" s="19"/>
      <c r="C309" s="19"/>
      <c r="D309" s="278"/>
      <c r="E309" s="278"/>
      <c r="F309" s="272"/>
      <c r="G309" s="130" t="s">
        <v>661</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v>141765</v>
      </c>
      <c r="AK309" s="268"/>
    </row>
    <row r="310" spans="2:37" ht="75">
      <c r="B310" s="19"/>
      <c r="C310" s="19"/>
      <c r="D310" s="278"/>
      <c r="E310" s="278"/>
      <c r="F310" s="272"/>
      <c r="G310" s="94" t="s">
        <v>662</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8"/>
    </row>
    <row r="311" spans="2:37" ht="75">
      <c r="B311" s="19"/>
      <c r="C311" s="19"/>
      <c r="D311" s="278"/>
      <c r="E311" s="278"/>
      <c r="F311" s="272"/>
      <c r="G311" s="94" t="s">
        <v>663</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8"/>
    </row>
    <row r="312" spans="2:37" ht="75">
      <c r="B312" s="19"/>
      <c r="C312" s="19"/>
      <c r="D312" s="278"/>
      <c r="E312" s="278"/>
      <c r="F312" s="272"/>
      <c r="G312" s="94" t="s">
        <v>207</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8"/>
    </row>
    <row r="313" spans="2:37" ht="18.75">
      <c r="B313" s="24"/>
      <c r="C313" s="24"/>
      <c r="D313" s="274" t="s">
        <v>304</v>
      </c>
      <c r="E313" s="274" t="s">
        <v>282</v>
      </c>
      <c r="F313" s="271" t="s">
        <v>281</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88000</v>
      </c>
      <c r="AC313" s="49">
        <f t="shared" si="33"/>
        <v>911176</v>
      </c>
      <c r="AD313" s="49">
        <f t="shared" si="33"/>
        <v>274184</v>
      </c>
      <c r="AE313" s="49">
        <f t="shared" si="33"/>
        <v>0</v>
      </c>
      <c r="AF313" s="49">
        <f t="shared" si="33"/>
        <v>0</v>
      </c>
      <c r="AG313" s="49">
        <f t="shared" si="33"/>
        <v>0</v>
      </c>
      <c r="AH313" s="49">
        <f t="shared" si="33"/>
        <v>100000</v>
      </c>
      <c r="AI313" s="49">
        <f t="shared" si="33"/>
        <v>508193.58</v>
      </c>
      <c r="AK313" s="268"/>
    </row>
    <row r="314" spans="2:37" ht="37.5">
      <c r="B314" s="24"/>
      <c r="C314" s="24"/>
      <c r="D314" s="275"/>
      <c r="E314" s="275"/>
      <c r="F314" s="272"/>
      <c r="G314" s="108" t="s">
        <v>208</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8"/>
    </row>
    <row r="315" spans="2:37" ht="37.5">
      <c r="B315" s="24"/>
      <c r="C315" s="24"/>
      <c r="D315" s="275"/>
      <c r="E315" s="275"/>
      <c r="F315" s="272"/>
      <c r="G315" s="108" t="s">
        <v>209</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8"/>
    </row>
    <row r="316" spans="2:37" ht="56.25">
      <c r="B316" s="24"/>
      <c r="C316" s="24"/>
      <c r="D316" s="275"/>
      <c r="E316" s="275"/>
      <c r="F316" s="272"/>
      <c r="G316" s="108" t="s">
        <v>210</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8"/>
    </row>
    <row r="317" spans="2:37" ht="37.5">
      <c r="B317" s="24"/>
      <c r="C317" s="24"/>
      <c r="D317" s="275"/>
      <c r="E317" s="275"/>
      <c r="F317" s="272"/>
      <c r="G317" s="108" t="s">
        <v>331</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8"/>
    </row>
    <row r="318" spans="2:37" ht="37.5">
      <c r="B318" s="24"/>
      <c r="C318" s="24"/>
      <c r="D318" s="275"/>
      <c r="E318" s="275"/>
      <c r="F318" s="272"/>
      <c r="G318" s="108" t="s">
        <v>332</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8"/>
    </row>
    <row r="319" spans="2:37" ht="37.5">
      <c r="B319" s="24"/>
      <c r="C319" s="24"/>
      <c r="D319" s="275"/>
      <c r="E319" s="275"/>
      <c r="F319" s="272"/>
      <c r="G319" s="108" t="s">
        <v>333</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8"/>
    </row>
    <row r="320" spans="2:37" ht="75">
      <c r="B320" s="24"/>
      <c r="C320" s="24"/>
      <c r="D320" s="275"/>
      <c r="E320" s="275"/>
      <c r="F320" s="272"/>
      <c r="G320" s="108" t="s">
        <v>334</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8"/>
    </row>
    <row r="321" spans="2:37" ht="37.5">
      <c r="B321" s="24"/>
      <c r="C321" s="24"/>
      <c r="D321" s="275"/>
      <c r="E321" s="275"/>
      <c r="F321" s="272"/>
      <c r="G321" s="108" t="s">
        <v>644</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8"/>
    </row>
    <row r="322" spans="2:37" ht="56.25">
      <c r="B322" s="24"/>
      <c r="C322" s="24"/>
      <c r="D322" s="275"/>
      <c r="E322" s="275"/>
      <c r="F322" s="272"/>
      <c r="G322" s="108" t="s">
        <v>645</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8"/>
    </row>
    <row r="323" spans="2:37" ht="37.5">
      <c r="B323" s="24"/>
      <c r="C323" s="24"/>
      <c r="D323" s="275"/>
      <c r="E323" s="275"/>
      <c r="F323" s="272"/>
      <c r="G323" s="108" t="s">
        <v>646</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8"/>
    </row>
    <row r="324" spans="2:37" ht="37.5">
      <c r="B324" s="24"/>
      <c r="C324" s="24"/>
      <c r="D324" s="275"/>
      <c r="E324" s="275"/>
      <c r="F324" s="272"/>
      <c r="G324" s="108" t="s">
        <v>647</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8"/>
    </row>
    <row r="325" spans="2:37" ht="37.5">
      <c r="B325" s="24"/>
      <c r="C325" s="24"/>
      <c r="D325" s="275"/>
      <c r="E325" s="275"/>
      <c r="F325" s="272"/>
      <c r="G325" s="108" t="s">
        <v>648</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8"/>
    </row>
    <row r="326" spans="2:37" ht="56.25">
      <c r="B326" s="24"/>
      <c r="C326" s="24"/>
      <c r="D326" s="275"/>
      <c r="E326" s="275"/>
      <c r="F326" s="272"/>
      <c r="G326" s="108" t="s">
        <v>353</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8"/>
    </row>
    <row r="327" spans="2:37" ht="37.5">
      <c r="B327" s="24"/>
      <c r="C327" s="24"/>
      <c r="D327" s="275"/>
      <c r="E327" s="275"/>
      <c r="F327" s="272"/>
      <c r="G327" s="108" t="s">
        <v>354</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8"/>
    </row>
    <row r="328" spans="2:37" ht="75">
      <c r="B328" s="24"/>
      <c r="C328" s="24"/>
      <c r="D328" s="275"/>
      <c r="E328" s="275"/>
      <c r="F328" s="272"/>
      <c r="G328" s="108" t="s">
        <v>355</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f>
        <v>160983.4</v>
      </c>
      <c r="AK328" s="268"/>
    </row>
    <row r="329" spans="2:37" ht="75">
      <c r="B329" s="24"/>
      <c r="C329" s="24"/>
      <c r="D329" s="275"/>
      <c r="E329" s="275"/>
      <c r="F329" s="272"/>
      <c r="G329" s="108" t="s">
        <v>179</v>
      </c>
      <c r="H329" s="111"/>
      <c r="I329" s="123"/>
      <c r="J329" s="113"/>
      <c r="K329" s="114"/>
      <c r="L329" s="114"/>
      <c r="M329" s="114"/>
      <c r="N329" s="91">
        <v>3132</v>
      </c>
      <c r="O329" s="132"/>
      <c r="P329" s="132"/>
      <c r="Q329" s="53">
        <v>150000</v>
      </c>
      <c r="R329" s="53"/>
      <c r="S329" s="53">
        <v>40000</v>
      </c>
      <c r="T329" s="53" t="s">
        <v>600</v>
      </c>
      <c r="U329" s="53"/>
      <c r="V329" s="53">
        <f>150000+40000</f>
        <v>190000</v>
      </c>
      <c r="W329" s="42"/>
      <c r="X329" s="42"/>
      <c r="Y329" s="42"/>
      <c r="Z329" s="42">
        <v>50000</v>
      </c>
      <c r="AA329" s="42">
        <f>100000-80000</f>
        <v>20000</v>
      </c>
      <c r="AB329" s="42"/>
      <c r="AC329" s="42">
        <f>40000+80000</f>
        <v>120000</v>
      </c>
      <c r="AD329" s="42"/>
      <c r="AE329" s="42"/>
      <c r="AF329" s="42"/>
      <c r="AG329" s="42"/>
      <c r="AH329" s="42"/>
      <c r="AI329" s="42">
        <v>92715.8</v>
      </c>
      <c r="AK329" s="268"/>
    </row>
    <row r="330" spans="2:37" ht="75">
      <c r="B330" s="19"/>
      <c r="C330" s="19"/>
      <c r="D330" s="275"/>
      <c r="E330" s="275"/>
      <c r="F330" s="272"/>
      <c r="G330" s="108" t="s">
        <v>372</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8"/>
    </row>
    <row r="331" spans="2:37" ht="37.5">
      <c r="B331" s="24"/>
      <c r="C331" s="24"/>
      <c r="D331" s="275"/>
      <c r="E331" s="275"/>
      <c r="F331" s="272"/>
      <c r="G331" s="130" t="s">
        <v>373</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f>190000</f>
        <v>190000</v>
      </c>
      <c r="AD331" s="42"/>
      <c r="AE331" s="42">
        <f>100000-100000</f>
        <v>0</v>
      </c>
      <c r="AF331" s="42">
        <f>10000-10000</f>
        <v>0</v>
      </c>
      <c r="AG331" s="42"/>
      <c r="AH331" s="42">
        <f>80000-80000</f>
        <v>0</v>
      </c>
      <c r="AI331" s="42"/>
      <c r="AK331" s="268"/>
    </row>
    <row r="332" spans="2:37" ht="37.5">
      <c r="B332" s="24"/>
      <c r="C332" s="24"/>
      <c r="D332" s="275"/>
      <c r="E332" s="275"/>
      <c r="F332" s="272"/>
      <c r="G332" s="130" t="s">
        <v>374</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8"/>
    </row>
    <row r="333" spans="2:37" ht="56.25">
      <c r="B333" s="24"/>
      <c r="C333" s="24"/>
      <c r="D333" s="275"/>
      <c r="E333" s="275"/>
      <c r="F333" s="272"/>
      <c r="G333" s="130" t="s">
        <v>375</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f>36827.5</f>
        <v>36827.5</v>
      </c>
      <c r="AK333" s="268"/>
    </row>
    <row r="334" spans="2:37" ht="37.5">
      <c r="B334" s="24"/>
      <c r="C334" s="24"/>
      <c r="D334" s="275"/>
      <c r="E334" s="275"/>
      <c r="F334" s="272"/>
      <c r="G334" s="130" t="s">
        <v>376</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v>70700</v>
      </c>
      <c r="AK334" s="268"/>
    </row>
    <row r="335" spans="2:37" ht="18" hidden="1">
      <c r="B335" s="24"/>
      <c r="C335" s="24"/>
      <c r="D335" s="274" t="s">
        <v>688</v>
      </c>
      <c r="E335" s="274" t="s">
        <v>283</v>
      </c>
      <c r="F335" s="271" t="s">
        <v>416</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8"/>
    </row>
    <row r="336" spans="2:37" ht="18" hidden="1">
      <c r="B336" s="24"/>
      <c r="C336" s="24"/>
      <c r="D336" s="276"/>
      <c r="E336" s="276"/>
      <c r="F336" s="273"/>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8"/>
    </row>
    <row r="337" spans="2:37" ht="18.75">
      <c r="B337" s="24"/>
      <c r="C337" s="24"/>
      <c r="D337" s="274" t="s">
        <v>284</v>
      </c>
      <c r="E337" s="274" t="s">
        <v>287</v>
      </c>
      <c r="F337" s="271" t="s">
        <v>288</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367677.27</v>
      </c>
      <c r="AK337" s="268"/>
    </row>
    <row r="338" spans="2:37" ht="56.25">
      <c r="B338" s="24"/>
      <c r="C338" s="24"/>
      <c r="D338" s="275"/>
      <c r="E338" s="275"/>
      <c r="F338" s="272"/>
      <c r="G338" s="108" t="s">
        <v>377</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8"/>
    </row>
    <row r="339" spans="2:37" ht="56.25">
      <c r="B339" s="24"/>
      <c r="C339" s="24"/>
      <c r="D339" s="275"/>
      <c r="E339" s="275"/>
      <c r="F339" s="272"/>
      <c r="G339" s="108" t="s">
        <v>307</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8"/>
    </row>
    <row r="340" spans="2:37" ht="56.25">
      <c r="B340" s="24"/>
      <c r="C340" s="24"/>
      <c r="D340" s="275"/>
      <c r="E340" s="275"/>
      <c r="F340" s="272"/>
      <c r="G340" s="130" t="s">
        <v>329</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8"/>
    </row>
    <row r="341" spans="2:37" ht="56.25">
      <c r="B341" s="24"/>
      <c r="C341" s="24"/>
      <c r="D341" s="275"/>
      <c r="E341" s="275"/>
      <c r="F341" s="272"/>
      <c r="G341" s="130" t="s">
        <v>330</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8"/>
    </row>
    <row r="342" spans="2:37" ht="93.75">
      <c r="B342" s="24"/>
      <c r="C342" s="24"/>
      <c r="D342" s="275"/>
      <c r="E342" s="275"/>
      <c r="F342" s="272"/>
      <c r="G342" s="130" t="s">
        <v>744</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8"/>
    </row>
    <row r="343" spans="2:37" ht="75">
      <c r="B343" s="24"/>
      <c r="C343" s="24"/>
      <c r="D343" s="275"/>
      <c r="E343" s="275"/>
      <c r="F343" s="272"/>
      <c r="G343" s="130" t="s">
        <v>745</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8"/>
    </row>
    <row r="344" spans="2:37" ht="56.25">
      <c r="B344" s="24"/>
      <c r="C344" s="24"/>
      <c r="D344" s="275"/>
      <c r="E344" s="275"/>
      <c r="F344" s="272"/>
      <c r="G344" s="130" t="s">
        <v>746</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8"/>
    </row>
    <row r="345" spans="2:37" ht="56.25">
      <c r="B345" s="24"/>
      <c r="C345" s="24"/>
      <c r="D345" s="275"/>
      <c r="E345" s="275"/>
      <c r="F345" s="272"/>
      <c r="G345" s="130" t="s">
        <v>747</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f>68748.37</f>
        <v>68748.37</v>
      </c>
      <c r="AK345" s="268"/>
    </row>
    <row r="346" spans="2:37" ht="56.25">
      <c r="B346" s="24"/>
      <c r="C346" s="24"/>
      <c r="D346" s="275"/>
      <c r="E346" s="275"/>
      <c r="F346" s="272"/>
      <c r="G346" s="130" t="s">
        <v>425</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8"/>
    </row>
    <row r="347" spans="2:37" ht="37.5">
      <c r="B347" s="24"/>
      <c r="C347" s="24"/>
      <c r="D347" s="275"/>
      <c r="E347" s="275"/>
      <c r="F347" s="272"/>
      <c r="G347" s="130" t="s">
        <v>211</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8"/>
    </row>
    <row r="348" spans="2:37" ht="75">
      <c r="B348" s="24"/>
      <c r="C348" s="24"/>
      <c r="D348" s="275"/>
      <c r="E348" s="275"/>
      <c r="F348" s="272"/>
      <c r="G348" s="130" t="s">
        <v>426</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4945+5655.8</f>
        <v>10600.8</v>
      </c>
      <c r="AK348" s="268"/>
    </row>
    <row r="349" spans="2:37" ht="56.25">
      <c r="B349" s="24"/>
      <c r="C349" s="24"/>
      <c r="D349" s="275"/>
      <c r="E349" s="275"/>
      <c r="F349" s="272"/>
      <c r="G349" s="130" t="s">
        <v>427</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f>192449.5</f>
        <v>192449.5</v>
      </c>
      <c r="AK349" s="268"/>
    </row>
    <row r="350" spans="2:37" ht="18" hidden="1">
      <c r="B350" s="24"/>
      <c r="C350" s="24"/>
      <c r="D350" s="274" t="s">
        <v>286</v>
      </c>
      <c r="E350" s="274" t="s">
        <v>287</v>
      </c>
      <c r="F350" s="271" t="s">
        <v>290</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8"/>
    </row>
    <row r="351" spans="2:37" ht="18" hidden="1">
      <c r="B351" s="24"/>
      <c r="C351" s="24"/>
      <c r="D351" s="275"/>
      <c r="E351" s="275"/>
      <c r="F351" s="272"/>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8"/>
    </row>
    <row r="352" spans="2:37" ht="18.75">
      <c r="B352" s="24"/>
      <c r="C352" s="24"/>
      <c r="D352" s="274" t="s">
        <v>314</v>
      </c>
      <c r="E352" s="274" t="s">
        <v>315</v>
      </c>
      <c r="F352" s="271" t="s">
        <v>291</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1483886.6199999999</v>
      </c>
      <c r="AK352" s="268"/>
    </row>
    <row r="353" spans="2:37" ht="93.75">
      <c r="B353" s="24"/>
      <c r="C353" s="24"/>
      <c r="D353" s="275"/>
      <c r="E353" s="275"/>
      <c r="F353" s="272"/>
      <c r="G353" s="108" t="s">
        <v>428</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8"/>
    </row>
    <row r="354" spans="2:37" ht="112.5">
      <c r="B354" s="24"/>
      <c r="C354" s="24"/>
      <c r="D354" s="275"/>
      <c r="E354" s="275"/>
      <c r="F354" s="272"/>
      <c r="G354" s="108" t="s">
        <v>134</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7499.52+391984.6</f>
        <v>399484.12</v>
      </c>
      <c r="AK354" s="268"/>
    </row>
    <row r="355" spans="2:37" ht="56.25">
      <c r="B355" s="24"/>
      <c r="C355" s="24"/>
      <c r="D355" s="275"/>
      <c r="E355" s="275"/>
      <c r="F355" s="272"/>
      <c r="G355" s="108" t="s">
        <v>394</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8"/>
    </row>
    <row r="356" spans="2:37" ht="112.5">
      <c r="B356" s="24"/>
      <c r="C356" s="24"/>
      <c r="D356" s="275"/>
      <c r="E356" s="275"/>
      <c r="F356" s="272"/>
      <c r="G356" s="108" t="s">
        <v>135</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f>11356.32+598882.2</f>
        <v>610238.5199999999</v>
      </c>
      <c r="AK356" s="268"/>
    </row>
    <row r="357" spans="2:37" ht="93.75">
      <c r="B357" s="24"/>
      <c r="C357" s="24"/>
      <c r="D357" s="275"/>
      <c r="E357" s="275"/>
      <c r="F357" s="272"/>
      <c r="G357" s="108" t="s">
        <v>595</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f>10493.03+382398.5</f>
        <v>392891.53</v>
      </c>
      <c r="AK357" s="268"/>
    </row>
    <row r="358" spans="2:37" ht="56.25">
      <c r="B358" s="24"/>
      <c r="C358" s="24"/>
      <c r="D358" s="275"/>
      <c r="E358" s="275"/>
      <c r="F358" s="272"/>
      <c r="G358" s="108" t="s">
        <v>597</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f>81272.45</f>
        <v>81272.45</v>
      </c>
      <c r="AK358" s="268"/>
    </row>
    <row r="359" spans="2:37" ht="72" hidden="1">
      <c r="B359" s="24"/>
      <c r="C359" s="24"/>
      <c r="D359" s="275"/>
      <c r="E359" s="275"/>
      <c r="F359" s="272"/>
      <c r="G359" s="108" t="s">
        <v>429</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8"/>
    </row>
    <row r="360" spans="2:37" ht="93.75">
      <c r="B360" s="24"/>
      <c r="C360" s="24"/>
      <c r="D360" s="275"/>
      <c r="E360" s="275"/>
      <c r="F360" s="272"/>
      <c r="G360" s="108" t="s">
        <v>430</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8"/>
    </row>
    <row r="361" spans="2:37" ht="18.75">
      <c r="B361" s="24"/>
      <c r="C361" s="24"/>
      <c r="D361" s="274" t="s">
        <v>343</v>
      </c>
      <c r="E361" s="274" t="s">
        <v>322</v>
      </c>
      <c r="F361" s="271" t="s">
        <v>292</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1917000</v>
      </c>
      <c r="AD361" s="49">
        <f t="shared" si="39"/>
        <v>1042000</v>
      </c>
      <c r="AE361" s="49">
        <f t="shared" si="39"/>
        <v>619000</v>
      </c>
      <c r="AF361" s="49">
        <f t="shared" si="39"/>
        <v>7000</v>
      </c>
      <c r="AG361" s="49">
        <f t="shared" si="39"/>
        <v>266300</v>
      </c>
      <c r="AH361" s="49">
        <f t="shared" si="39"/>
        <v>1430000</v>
      </c>
      <c r="AI361" s="49">
        <f t="shared" si="39"/>
        <v>1025827.25</v>
      </c>
      <c r="AK361" s="268"/>
    </row>
    <row r="362" spans="2:37" ht="56.25">
      <c r="B362" s="19"/>
      <c r="C362" s="19"/>
      <c r="D362" s="275"/>
      <c r="E362" s="275"/>
      <c r="F362" s="272"/>
      <c r="G362" s="108" t="s">
        <v>409</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8"/>
    </row>
    <row r="363" spans="2:37" ht="75">
      <c r="B363" s="19"/>
      <c r="C363" s="19"/>
      <c r="D363" s="275"/>
      <c r="E363" s="275"/>
      <c r="F363" s="272"/>
      <c r="G363" s="108" t="s">
        <v>383</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v>100000</v>
      </c>
      <c r="AD363" s="42"/>
      <c r="AE363" s="42">
        <v>94000</v>
      </c>
      <c r="AF363" s="50"/>
      <c r="AG363" s="50">
        <f>226300-100000</f>
        <v>126300</v>
      </c>
      <c r="AH363" s="50"/>
      <c r="AI363" s="50"/>
      <c r="AK363" s="268"/>
    </row>
    <row r="364" spans="2:37" ht="56.25">
      <c r="B364" s="19"/>
      <c r="C364" s="19"/>
      <c r="D364" s="275"/>
      <c r="E364" s="275"/>
      <c r="F364" s="272"/>
      <c r="G364" s="108" t="s">
        <v>410</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50">
        <f>72427.5</f>
        <v>72427.5</v>
      </c>
      <c r="AK364" s="268"/>
    </row>
    <row r="365" spans="2:37" ht="112.5">
      <c r="B365" s="19"/>
      <c r="C365" s="19"/>
      <c r="D365" s="275"/>
      <c r="E365" s="275"/>
      <c r="F365" s="272"/>
      <c r="G365" s="108" t="s">
        <v>596</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50">
        <f>24948</f>
        <v>24948</v>
      </c>
      <c r="AK365" s="268"/>
    </row>
    <row r="366" spans="2:37" ht="37.5">
      <c r="B366" s="19"/>
      <c r="C366" s="19"/>
      <c r="D366" s="275"/>
      <c r="E366" s="275"/>
      <c r="F366" s="272"/>
      <c r="G366" s="108" t="s">
        <v>411</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8"/>
    </row>
    <row r="367" spans="2:37" ht="56.25">
      <c r="B367" s="19"/>
      <c r="C367" s="19"/>
      <c r="D367" s="275"/>
      <c r="E367" s="275"/>
      <c r="F367" s="272"/>
      <c r="G367" s="108" t="s">
        <v>412</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400000-8000-48000+150000</f>
        <v>494000</v>
      </c>
      <c r="AD367" s="42"/>
      <c r="AE367" s="42">
        <f>325000-150000</f>
        <v>175000</v>
      </c>
      <c r="AF367" s="50"/>
      <c r="AG367" s="50"/>
      <c r="AH367" s="50">
        <v>400000</v>
      </c>
      <c r="AI367" s="50">
        <f>14400+33600</f>
        <v>48000</v>
      </c>
      <c r="AK367" s="268"/>
    </row>
    <row r="368" spans="2:37" ht="56.25">
      <c r="B368" s="19"/>
      <c r="C368" s="19"/>
      <c r="D368" s="275"/>
      <c r="E368" s="275"/>
      <c r="F368" s="272"/>
      <c r="G368" s="108" t="s">
        <v>181</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8"/>
    </row>
    <row r="369" spans="2:37" ht="56.25">
      <c r="B369" s="19"/>
      <c r="C369" s="19"/>
      <c r="D369" s="275"/>
      <c r="E369" s="275"/>
      <c r="F369" s="272"/>
      <c r="G369" s="108" t="s">
        <v>413</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400000-8000+150000</f>
        <v>542000</v>
      </c>
      <c r="AD369" s="42"/>
      <c r="AE369" s="42">
        <f>325000-150000</f>
        <v>175000</v>
      </c>
      <c r="AF369" s="50"/>
      <c r="AG369" s="50"/>
      <c r="AH369" s="50">
        <f>400000-50000</f>
        <v>350000</v>
      </c>
      <c r="AI369" s="50">
        <f>14400+33600</f>
        <v>48000</v>
      </c>
      <c r="AK369" s="268"/>
    </row>
    <row r="370" spans="2:37" ht="56.25">
      <c r="B370" s="19"/>
      <c r="C370" s="19"/>
      <c r="D370" s="275"/>
      <c r="E370" s="275"/>
      <c r="F370" s="272"/>
      <c r="G370" s="108" t="s">
        <v>414</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400000-9000+150000</f>
        <v>541000</v>
      </c>
      <c r="AD370" s="42"/>
      <c r="AE370" s="42">
        <f>325000-150000</f>
        <v>175000</v>
      </c>
      <c r="AF370" s="50"/>
      <c r="AG370" s="50"/>
      <c r="AH370" s="50">
        <v>400000</v>
      </c>
      <c r="AI370" s="50">
        <f>10404.6</f>
        <v>10404.6</v>
      </c>
      <c r="AK370" s="268"/>
    </row>
    <row r="371" spans="2:37" ht="56.25">
      <c r="B371" s="19"/>
      <c r="C371" s="19"/>
      <c r="D371" s="275"/>
      <c r="E371" s="275"/>
      <c r="F371" s="272"/>
      <c r="G371" s="108" t="s">
        <v>382</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8"/>
    </row>
    <row r="372" spans="2:37" ht="56.25">
      <c r="B372" s="19"/>
      <c r="C372" s="19"/>
      <c r="D372" s="275"/>
      <c r="E372" s="275"/>
      <c r="F372" s="272"/>
      <c r="G372" s="108" t="s">
        <v>598</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50">
        <f>4011</f>
        <v>4011</v>
      </c>
      <c r="AK372" s="268"/>
    </row>
    <row r="373" spans="2:37" ht="112.5">
      <c r="B373" s="19"/>
      <c r="C373" s="19"/>
      <c r="D373" s="275"/>
      <c r="E373" s="275"/>
      <c r="F373" s="272"/>
      <c r="G373" s="52" t="s">
        <v>183</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184</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8"/>
    </row>
    <row r="374" spans="2:37" ht="69" customHeight="1">
      <c r="B374" s="19"/>
      <c r="C374" s="19"/>
      <c r="D374" s="275"/>
      <c r="E374" s="275"/>
      <c r="F374" s="272"/>
      <c r="G374" s="52" t="s">
        <v>185</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8"/>
    </row>
    <row r="375" spans="2:37" ht="66.75" customHeight="1">
      <c r="B375" s="19"/>
      <c r="C375" s="19"/>
      <c r="D375" s="275"/>
      <c r="E375" s="275"/>
      <c r="F375" s="272"/>
      <c r="G375" s="52" t="s">
        <v>186</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8"/>
    </row>
    <row r="376" spans="2:37" ht="18.75">
      <c r="B376" s="24"/>
      <c r="C376" s="24"/>
      <c r="D376" s="274" t="s">
        <v>344</v>
      </c>
      <c r="E376" s="274" t="s">
        <v>282</v>
      </c>
      <c r="F376" s="271" t="s">
        <v>640</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8"/>
    </row>
    <row r="377" spans="2:37" ht="75">
      <c r="B377" s="24"/>
      <c r="C377" s="24"/>
      <c r="D377" s="275"/>
      <c r="E377" s="275"/>
      <c r="F377" s="272"/>
      <c r="G377" s="108" t="s">
        <v>727</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8"/>
    </row>
    <row r="378" spans="2:37" ht="56.25">
      <c r="B378" s="24"/>
      <c r="C378" s="24"/>
      <c r="D378" s="275"/>
      <c r="E378" s="275"/>
      <c r="F378" s="272"/>
      <c r="G378" s="130" t="s">
        <v>728</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8"/>
    </row>
    <row r="379" spans="2:37" ht="37.5">
      <c r="B379" s="24"/>
      <c r="C379" s="24"/>
      <c r="D379" s="275"/>
      <c r="E379" s="275"/>
      <c r="F379" s="272"/>
      <c r="G379" s="108" t="s">
        <v>729</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8"/>
    </row>
    <row r="380" spans="2:37" ht="18.75">
      <c r="B380" s="19"/>
      <c r="C380" s="27"/>
      <c r="D380" s="277" t="s">
        <v>392</v>
      </c>
      <c r="E380" s="277" t="s">
        <v>315</v>
      </c>
      <c r="F380" s="271" t="s">
        <v>191</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577663.8300000001</v>
      </c>
      <c r="AK380" s="268"/>
    </row>
    <row r="381" spans="2:37" ht="56.25">
      <c r="B381" s="19"/>
      <c r="C381" s="27"/>
      <c r="D381" s="278"/>
      <c r="E381" s="278"/>
      <c r="F381" s="272"/>
      <c r="G381" s="137" t="s">
        <v>730</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8"/>
    </row>
    <row r="382" spans="2:37" ht="56.25">
      <c r="B382" s="19"/>
      <c r="C382" s="27"/>
      <c r="D382" s="278"/>
      <c r="E382" s="278"/>
      <c r="F382" s="272"/>
      <c r="G382" s="108" t="s">
        <v>731</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8"/>
    </row>
    <row r="383" spans="2:37" ht="56.25">
      <c r="B383" s="19"/>
      <c r="C383" s="27"/>
      <c r="D383" s="278"/>
      <c r="E383" s="278"/>
      <c r="F383" s="272"/>
      <c r="G383" s="137" t="s">
        <v>192</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8"/>
    </row>
    <row r="384" spans="2:37" ht="37.5">
      <c r="B384" s="19"/>
      <c r="C384" s="27"/>
      <c r="D384" s="278"/>
      <c r="E384" s="278"/>
      <c r="F384" s="272"/>
      <c r="G384" s="108" t="s">
        <v>732</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8"/>
    </row>
    <row r="385" spans="2:37" ht="56.25">
      <c r="B385" s="19"/>
      <c r="C385" s="27"/>
      <c r="D385" s="278"/>
      <c r="E385" s="278"/>
      <c r="F385" s="272"/>
      <c r="G385" s="94" t="s">
        <v>733</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8"/>
    </row>
    <row r="386" spans="2:37" ht="37.5">
      <c r="B386" s="19"/>
      <c r="C386" s="27"/>
      <c r="D386" s="278"/>
      <c r="E386" s="278"/>
      <c r="F386" s="272"/>
      <c r="G386" s="139" t="s">
        <v>193</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291284.07</v>
      </c>
      <c r="AK386" s="268"/>
    </row>
    <row r="387" spans="2:37" ht="37.5">
      <c r="B387" s="19"/>
      <c r="C387" s="27"/>
      <c r="D387" s="278"/>
      <c r="E387" s="278"/>
      <c r="F387" s="272"/>
      <c r="G387" s="141" t="s">
        <v>734</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8"/>
    </row>
    <row r="388" spans="2:37" ht="56.25">
      <c r="B388" s="19"/>
      <c r="C388" s="27"/>
      <c r="D388" s="278"/>
      <c r="E388" s="278"/>
      <c r="F388" s="272"/>
      <c r="G388" s="141" t="s">
        <v>371</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8"/>
    </row>
    <row r="389" spans="2:37" ht="37.5">
      <c r="B389" s="19"/>
      <c r="C389" s="27"/>
      <c r="D389" s="278"/>
      <c r="E389" s="278"/>
      <c r="F389" s="272"/>
      <c r="G389" s="139" t="s">
        <v>763</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180000</v>
      </c>
      <c r="AK389" s="268"/>
    </row>
    <row r="390" spans="2:37" ht="37.5">
      <c r="B390" s="19"/>
      <c r="C390" s="27"/>
      <c r="D390" s="278"/>
      <c r="E390" s="278"/>
      <c r="F390" s="272"/>
      <c r="G390" s="141" t="s">
        <v>764</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8"/>
    </row>
    <row r="391" spans="2:37" ht="56.25">
      <c r="B391" s="19"/>
      <c r="C391" s="27"/>
      <c r="D391" s="278"/>
      <c r="E391" s="278"/>
      <c r="F391" s="272"/>
      <c r="G391" s="139" t="s">
        <v>194</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106379.76</v>
      </c>
      <c r="AK391" s="268"/>
    </row>
    <row r="392" spans="2:37" ht="93.75">
      <c r="B392" s="19"/>
      <c r="C392" s="27"/>
      <c r="D392" s="278"/>
      <c r="E392" s="278"/>
      <c r="F392" s="272"/>
      <c r="G392" s="141" t="s">
        <v>765</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8"/>
    </row>
    <row r="393" spans="2:37" ht="75">
      <c r="B393" s="19"/>
      <c r="C393" s="27"/>
      <c r="D393" s="278"/>
      <c r="E393" s="278"/>
      <c r="F393" s="272"/>
      <c r="G393" s="141" t="s">
        <v>766</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8"/>
    </row>
    <row r="394" spans="2:37" ht="56.25">
      <c r="B394" s="19"/>
      <c r="C394" s="27"/>
      <c r="D394" s="278"/>
      <c r="E394" s="278"/>
      <c r="F394" s="272"/>
      <c r="G394" s="141" t="s">
        <v>398</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8"/>
    </row>
    <row r="395" spans="2:37" ht="93.75">
      <c r="B395" s="19"/>
      <c r="C395" s="27"/>
      <c r="D395" s="278"/>
      <c r="E395" s="278"/>
      <c r="F395" s="272"/>
      <c r="G395" s="141" t="s">
        <v>767</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8"/>
    </row>
    <row r="396" spans="2:37" ht="112.5">
      <c r="B396" s="19"/>
      <c r="C396" s="27"/>
      <c r="D396" s="278"/>
      <c r="E396" s="278"/>
      <c r="F396" s="272"/>
      <c r="G396" s="141" t="s">
        <v>7</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8"/>
    </row>
    <row r="397" spans="2:37" ht="56.25">
      <c r="B397" s="19"/>
      <c r="C397" s="27"/>
      <c r="D397" s="278"/>
      <c r="E397" s="278"/>
      <c r="F397" s="272"/>
      <c r="G397" s="141" t="s">
        <v>8</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8"/>
    </row>
    <row r="398" spans="2:37" ht="56.25">
      <c r="B398" s="24"/>
      <c r="C398" s="9"/>
      <c r="D398" s="75"/>
      <c r="E398" s="102"/>
      <c r="F398" s="77" t="s">
        <v>680</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3069702.39</v>
      </c>
      <c r="AK398" s="268"/>
    </row>
    <row r="399" spans="2:37" ht="18.75">
      <c r="B399" s="24"/>
      <c r="C399" s="24"/>
      <c r="D399" s="274" t="s">
        <v>345</v>
      </c>
      <c r="E399" s="274" t="s">
        <v>262</v>
      </c>
      <c r="F399" s="271" t="s">
        <v>324</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2094613.31</v>
      </c>
      <c r="AK399" s="268"/>
    </row>
    <row r="400" spans="2:37" ht="56.25">
      <c r="B400" s="19"/>
      <c r="C400" s="19"/>
      <c r="D400" s="275"/>
      <c r="E400" s="275"/>
      <c r="F400" s="272"/>
      <c r="G400" s="146" t="s">
        <v>401</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c r="AK400" s="268"/>
    </row>
    <row r="401" spans="2:37" ht="37.5">
      <c r="B401" s="19"/>
      <c r="C401" s="19"/>
      <c r="D401" s="275"/>
      <c r="E401" s="275"/>
      <c r="F401" s="272"/>
      <c r="G401" s="146" t="s">
        <v>734</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c r="AK401" s="268"/>
    </row>
    <row r="402" spans="2:37" ht="75">
      <c r="B402" s="19"/>
      <c r="C402" s="19"/>
      <c r="D402" s="275"/>
      <c r="E402" s="275"/>
      <c r="F402" s="272"/>
      <c r="G402" s="146" t="s">
        <v>391</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c r="AK402" s="268"/>
    </row>
    <row r="403" spans="2:37" ht="75">
      <c r="B403" s="19"/>
      <c r="C403" s="19"/>
      <c r="D403" s="275"/>
      <c r="E403" s="275"/>
      <c r="F403" s="272"/>
      <c r="G403" s="146" t="s">
        <v>768</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c r="AK403" s="268"/>
    </row>
    <row r="404" spans="2:37" ht="56.25">
      <c r="B404" s="19"/>
      <c r="C404" s="19"/>
      <c r="D404" s="275"/>
      <c r="E404" s="275"/>
      <c r="F404" s="272"/>
      <c r="G404" s="146" t="s">
        <v>769</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c r="AK404" s="268"/>
    </row>
    <row r="405" spans="2:37" ht="112.5">
      <c r="B405" s="19"/>
      <c r="C405" s="19"/>
      <c r="D405" s="275"/>
      <c r="E405" s="275"/>
      <c r="F405" s="272"/>
      <c r="G405" s="146" t="s">
        <v>770</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c r="AK405" s="268"/>
    </row>
    <row r="406" spans="2:37" ht="75">
      <c r="B406" s="19"/>
      <c r="C406" s="19"/>
      <c r="D406" s="275"/>
      <c r="E406" s="275"/>
      <c r="F406" s="272"/>
      <c r="G406" s="146" t="s">
        <v>743</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c r="AK406" s="268"/>
    </row>
    <row r="407" spans="2:37" ht="112.5">
      <c r="B407" s="19"/>
      <c r="C407" s="19"/>
      <c r="D407" s="275"/>
      <c r="E407" s="275"/>
      <c r="F407" s="272"/>
      <c r="G407" s="146" t="s">
        <v>758</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c r="AK407" s="268"/>
    </row>
    <row r="408" spans="2:37" ht="93.75">
      <c r="B408" s="19"/>
      <c r="C408" s="19"/>
      <c r="D408" s="275"/>
      <c r="E408" s="275"/>
      <c r="F408" s="272"/>
      <c r="G408" s="94" t="s">
        <v>421</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491677.5+36669+4329.11</f>
        <v>532675.61</v>
      </c>
      <c r="AK408" s="268"/>
    </row>
    <row r="409" spans="2:37" ht="75">
      <c r="B409" s="19"/>
      <c r="C409" s="19"/>
      <c r="D409" s="275"/>
      <c r="E409" s="275"/>
      <c r="F409" s="272"/>
      <c r="G409" s="146" t="s">
        <v>422</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c r="AK409" s="268"/>
    </row>
    <row r="410" spans="2:37" ht="131.25">
      <c r="B410" s="19"/>
      <c r="C410" s="19"/>
      <c r="D410" s="275"/>
      <c r="E410" s="275"/>
      <c r="F410" s="272"/>
      <c r="G410" s="146" t="s">
        <v>740</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c r="AK410" s="268"/>
    </row>
    <row r="411" spans="2:37" ht="112.5">
      <c r="B411" s="19"/>
      <c r="C411" s="19"/>
      <c r="D411" s="275"/>
      <c r="E411" s="275"/>
      <c r="F411" s="272"/>
      <c r="G411" s="146" t="s">
        <v>423</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c r="AK411" s="268"/>
    </row>
    <row r="412" spans="2:37" ht="112.5">
      <c r="B412" s="19"/>
      <c r="C412" s="19"/>
      <c r="D412" s="275"/>
      <c r="E412" s="275"/>
      <c r="F412" s="272"/>
      <c r="G412" s="146" t="s">
        <v>424</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c r="AK412" s="268"/>
    </row>
    <row r="413" spans="2:37" ht="112.5">
      <c r="B413" s="19"/>
      <c r="C413" s="19"/>
      <c r="D413" s="275"/>
      <c r="E413" s="275"/>
      <c r="F413" s="272"/>
      <c r="G413" s="146" t="s">
        <v>48</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c r="AK413" s="268"/>
    </row>
    <row r="414" spans="2:37" ht="150">
      <c r="B414" s="19"/>
      <c r="C414" s="19"/>
      <c r="D414" s="275"/>
      <c r="E414" s="275"/>
      <c r="F414" s="272"/>
      <c r="G414" s="52" t="s">
        <v>626</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c r="AK414" s="268"/>
    </row>
    <row r="415" spans="2:37" ht="34.5" customHeight="1">
      <c r="B415" s="24"/>
      <c r="C415" s="24"/>
      <c r="D415" s="274" t="s">
        <v>346</v>
      </c>
      <c r="E415" s="274" t="s">
        <v>264</v>
      </c>
      <c r="F415" s="271" t="s">
        <v>263</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c r="AK415" s="268"/>
    </row>
    <row r="416" spans="2:37" ht="37.5">
      <c r="B416" s="252"/>
      <c r="C416" s="252"/>
      <c r="D416" s="275"/>
      <c r="E416" s="275"/>
      <c r="F416" s="272"/>
      <c r="G416" s="146" t="s">
        <v>734</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c r="AK416" s="268"/>
    </row>
    <row r="417" spans="2:37" ht="150">
      <c r="B417" s="24"/>
      <c r="C417" s="24"/>
      <c r="D417" s="276"/>
      <c r="E417" s="276"/>
      <c r="F417" s="273"/>
      <c r="G417" s="146" t="s">
        <v>49</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c r="AK417" s="268"/>
    </row>
    <row r="418" spans="2:37" ht="18.75">
      <c r="B418" s="24"/>
      <c r="C418" s="24"/>
      <c r="D418" s="274" t="s">
        <v>347</v>
      </c>
      <c r="E418" s="274" t="s">
        <v>265</v>
      </c>
      <c r="F418" s="271" t="s">
        <v>669</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634175.96</v>
      </c>
      <c r="AK418" s="268"/>
    </row>
    <row r="419" spans="2:37" ht="56.25">
      <c r="B419" s="24"/>
      <c r="C419" s="24"/>
      <c r="D419" s="275"/>
      <c r="E419" s="275"/>
      <c r="F419" s="272"/>
      <c r="G419" s="146" t="s">
        <v>401</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c r="AK419" s="268"/>
    </row>
    <row r="420" spans="2:37" ht="56.25">
      <c r="B420" s="24"/>
      <c r="C420" s="24"/>
      <c r="D420" s="275"/>
      <c r="E420" s="275"/>
      <c r="F420" s="272"/>
      <c r="G420" s="146" t="s">
        <v>27</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c r="AK420" s="268"/>
    </row>
    <row r="421" spans="2:37" ht="37.5">
      <c r="B421" s="24"/>
      <c r="C421" s="24"/>
      <c r="D421" s="275"/>
      <c r="E421" s="275"/>
      <c r="F421" s="272"/>
      <c r="G421" s="146" t="s">
        <v>734</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12500+6250</f>
        <v>18750</v>
      </c>
      <c r="AK421" s="268"/>
    </row>
    <row r="422" spans="2:37" ht="75">
      <c r="B422" s="24"/>
      <c r="C422" s="24"/>
      <c r="D422" s="275"/>
      <c r="E422" s="275"/>
      <c r="F422" s="272"/>
      <c r="G422" s="146" t="s">
        <v>391</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c r="AK422" s="268"/>
    </row>
    <row r="423" spans="2:37" ht="75">
      <c r="B423" s="24"/>
      <c r="C423" s="24"/>
      <c r="D423" s="275"/>
      <c r="E423" s="275"/>
      <c r="F423" s="272"/>
      <c r="G423" s="94" t="s">
        <v>56</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c r="AK423" s="268"/>
    </row>
    <row r="424" spans="2:37" ht="93.75">
      <c r="B424" s="24"/>
      <c r="C424" s="24"/>
      <c r="D424" s="275"/>
      <c r="E424" s="275"/>
      <c r="F424" s="272"/>
      <c r="G424" s="94" t="s">
        <v>38</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c r="AK424" s="268"/>
    </row>
    <row r="425" spans="2:37" ht="75">
      <c r="B425" s="24"/>
      <c r="C425" s="24"/>
      <c r="D425" s="275"/>
      <c r="E425" s="275"/>
      <c r="F425" s="272"/>
      <c r="G425" s="94" t="s">
        <v>39</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c r="AK425" s="268"/>
    </row>
    <row r="426" spans="2:37" ht="75">
      <c r="B426" s="24"/>
      <c r="C426" s="24"/>
      <c r="D426" s="275"/>
      <c r="E426" s="275"/>
      <c r="F426" s="272"/>
      <c r="G426" s="94" t="s">
        <v>40</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c r="AK426" s="268"/>
    </row>
    <row r="427" spans="2:37" ht="93.75">
      <c r="B427" s="24"/>
      <c r="C427" s="24"/>
      <c r="D427" s="275"/>
      <c r="E427" s="275"/>
      <c r="F427" s="272"/>
      <c r="G427" s="94" t="s">
        <v>41</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c r="AK427" s="268"/>
    </row>
    <row r="428" spans="2:37" ht="30.75" customHeight="1">
      <c r="B428" s="24"/>
      <c r="C428" s="24"/>
      <c r="D428" s="274" t="s">
        <v>348</v>
      </c>
      <c r="E428" s="274" t="s">
        <v>267</v>
      </c>
      <c r="F428" s="271" t="s">
        <v>266</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c r="AK428" s="268"/>
    </row>
    <row r="429" spans="2:37" ht="56.25">
      <c r="B429" s="24"/>
      <c r="C429" s="24"/>
      <c r="D429" s="275"/>
      <c r="E429" s="275"/>
      <c r="F429" s="272"/>
      <c r="G429" s="153" t="s">
        <v>42</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c r="AK429" s="268"/>
    </row>
    <row r="430" spans="2:37" ht="93.75">
      <c r="B430" s="24"/>
      <c r="C430" s="24"/>
      <c r="D430" s="276"/>
      <c r="E430" s="276"/>
      <c r="F430" s="273"/>
      <c r="G430" s="153" t="s">
        <v>26</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c r="AK430" s="268"/>
    </row>
    <row r="431" spans="2:37" ht="18.75">
      <c r="B431" s="24"/>
      <c r="C431" s="24"/>
      <c r="D431" s="274" t="s">
        <v>43</v>
      </c>
      <c r="E431" s="277" t="s">
        <v>44</v>
      </c>
      <c r="F431" s="269" t="s">
        <v>45</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c r="AK431" s="268"/>
    </row>
    <row r="432" spans="2:37" ht="93.75">
      <c r="B432" s="24"/>
      <c r="C432" s="24"/>
      <c r="D432" s="275"/>
      <c r="E432" s="278"/>
      <c r="F432" s="269"/>
      <c r="G432" s="146" t="s">
        <v>46</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c r="AK432" s="268"/>
    </row>
    <row r="433" spans="2:37" ht="93.75">
      <c r="B433" s="24"/>
      <c r="C433" s="24"/>
      <c r="D433" s="275"/>
      <c r="E433" s="278"/>
      <c r="F433" s="269"/>
      <c r="G433" s="146" t="s">
        <v>417</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c r="AK433" s="268"/>
    </row>
    <row r="434" spans="2:37" ht="69" customHeight="1">
      <c r="B434" s="24"/>
      <c r="C434" s="24"/>
      <c r="D434" s="274" t="s">
        <v>268</v>
      </c>
      <c r="E434" s="274" t="s">
        <v>262</v>
      </c>
      <c r="F434" s="271" t="s">
        <v>642</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224805</v>
      </c>
      <c r="AK434" s="268"/>
    </row>
    <row r="435" spans="2:37" ht="56.25">
      <c r="B435" s="24"/>
      <c r="C435" s="248"/>
      <c r="D435" s="276"/>
      <c r="E435" s="276"/>
      <c r="F435" s="273"/>
      <c r="G435" s="153" t="s">
        <v>786</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c r="AK435" s="268"/>
    </row>
    <row r="436" spans="2:37" ht="37.5">
      <c r="B436" s="24"/>
      <c r="C436" s="9"/>
      <c r="D436" s="102"/>
      <c r="E436" s="103"/>
      <c r="F436" s="77" t="s">
        <v>566</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1557941.44</v>
      </c>
      <c r="AK436" s="268"/>
    </row>
    <row r="437" spans="2:37" ht="18.75">
      <c r="B437" s="19"/>
      <c r="C437" s="9"/>
      <c r="D437" s="277" t="s">
        <v>335</v>
      </c>
      <c r="E437" s="279" t="s">
        <v>317</v>
      </c>
      <c r="F437" s="271" t="s">
        <v>336</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716834</v>
      </c>
      <c r="AK437" s="268"/>
    </row>
    <row r="438" spans="2:37" ht="56.25">
      <c r="B438" s="19"/>
      <c r="C438" s="9"/>
      <c r="D438" s="278"/>
      <c r="E438" s="280"/>
      <c r="F438" s="272"/>
      <c r="G438" s="146" t="s">
        <v>418</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c r="AK438" s="268"/>
    </row>
    <row r="439" spans="2:37" ht="93.75">
      <c r="B439" s="19"/>
      <c r="C439" s="9"/>
      <c r="D439" s="278"/>
      <c r="E439" s="280"/>
      <c r="F439" s="272"/>
      <c r="G439" s="146" t="s">
        <v>419</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c r="AK439" s="268"/>
    </row>
    <row r="440" spans="2:37" ht="75">
      <c r="B440" s="19"/>
      <c r="C440" s="9"/>
      <c r="D440" s="278"/>
      <c r="E440" s="280"/>
      <c r="F440" s="272"/>
      <c r="G440" s="146" t="s">
        <v>420</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c r="AK440" s="268"/>
    </row>
    <row r="441" spans="2:37" ht="131.25">
      <c r="B441" s="19"/>
      <c r="C441" s="9"/>
      <c r="D441" s="278"/>
      <c r="E441" s="280"/>
      <c r="F441" s="272"/>
      <c r="G441" s="146" t="s">
        <v>517</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c r="AK441" s="268"/>
    </row>
    <row r="442" spans="2:37" ht="168.75">
      <c r="B442" s="19"/>
      <c r="C442" s="9"/>
      <c r="D442" s="278"/>
      <c r="E442" s="280"/>
      <c r="F442" s="272"/>
      <c r="G442" s="146" t="s">
        <v>435</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c r="AK442" s="268"/>
    </row>
    <row r="443" spans="2:37" ht="93.75">
      <c r="B443" s="19"/>
      <c r="C443" s="9"/>
      <c r="D443" s="278"/>
      <c r="E443" s="280"/>
      <c r="F443" s="272"/>
      <c r="G443" s="146" t="s">
        <v>436</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c r="AK443" s="268"/>
    </row>
    <row r="444" spans="2:37" ht="93.75">
      <c r="B444" s="19"/>
      <c r="C444" s="9"/>
      <c r="D444" s="278"/>
      <c r="E444" s="280"/>
      <c r="F444" s="272"/>
      <c r="G444" s="146" t="s">
        <v>437</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c r="AK444" s="268"/>
    </row>
    <row r="445" spans="2:37" ht="37.5">
      <c r="B445" s="19"/>
      <c r="C445" s="9"/>
      <c r="D445" s="278"/>
      <c r="E445" s="280"/>
      <c r="F445" s="272"/>
      <c r="G445" s="146" t="s">
        <v>734</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c r="AK445" s="268"/>
    </row>
    <row r="446" spans="2:37" ht="56.25">
      <c r="B446" s="19"/>
      <c r="C446" s="9"/>
      <c r="D446" s="270"/>
      <c r="E446" s="281"/>
      <c r="F446" s="273"/>
      <c r="G446" s="146" t="s">
        <v>117</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c r="AK446" s="268"/>
    </row>
    <row r="447" spans="2:37" ht="18" hidden="1">
      <c r="B447" s="19"/>
      <c r="C447" s="9"/>
      <c r="D447" s="277" t="s">
        <v>189</v>
      </c>
      <c r="E447" s="277" t="s">
        <v>325</v>
      </c>
      <c r="F447" s="271" t="s">
        <v>724</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c r="AK447" s="268"/>
    </row>
    <row r="448" spans="2:37" ht="18" hidden="1">
      <c r="B448" s="19"/>
      <c r="C448" s="9"/>
      <c r="D448" s="270"/>
      <c r="E448" s="270"/>
      <c r="F448" s="273"/>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c r="AK448" s="268"/>
    </row>
    <row r="449" spans="2:37" ht="18.75">
      <c r="B449" s="24"/>
      <c r="C449" s="24"/>
      <c r="D449" s="274" t="s">
        <v>323</v>
      </c>
      <c r="E449" s="274" t="s">
        <v>643</v>
      </c>
      <c r="F449" s="271" t="s">
        <v>187</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841107.4400000001</v>
      </c>
      <c r="AK449" s="268"/>
    </row>
    <row r="450" spans="2:37" ht="112.5">
      <c r="B450" s="24"/>
      <c r="C450" s="24"/>
      <c r="D450" s="275"/>
      <c r="E450" s="275"/>
      <c r="F450" s="272"/>
      <c r="G450" s="146" t="s">
        <v>438</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c r="AK450" s="268"/>
    </row>
    <row r="451" spans="2:37" ht="112.5">
      <c r="B451" s="24"/>
      <c r="C451" s="24"/>
      <c r="D451" s="275"/>
      <c r="E451" s="275"/>
      <c r="F451" s="272"/>
      <c r="G451" s="146" t="s">
        <v>439</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f>34400-9000</f>
        <v>25400</v>
      </c>
      <c r="AD451" s="42">
        <v>9000</v>
      </c>
      <c r="AE451" s="42"/>
      <c r="AF451" s="42"/>
      <c r="AG451" s="42"/>
      <c r="AH451" s="42"/>
      <c r="AI451" s="42"/>
      <c r="AK451" s="268"/>
    </row>
    <row r="452" spans="2:37" ht="112.5">
      <c r="B452" s="24"/>
      <c r="C452" s="24"/>
      <c r="D452" s="275"/>
      <c r="E452" s="275"/>
      <c r="F452" s="272"/>
      <c r="G452" s="146" t="s">
        <v>761</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c r="AK452" s="268"/>
    </row>
    <row r="453" spans="2:37" ht="131.25">
      <c r="B453" s="24"/>
      <c r="C453" s="24"/>
      <c r="D453" s="275"/>
      <c r="E453" s="275"/>
      <c r="F453" s="272"/>
      <c r="G453" s="146" t="s">
        <v>402</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v>9000</v>
      </c>
      <c r="AD453" s="42">
        <f>9000-9000</f>
        <v>0</v>
      </c>
      <c r="AE453" s="42"/>
      <c r="AF453" s="42"/>
      <c r="AG453" s="42"/>
      <c r="AH453" s="42"/>
      <c r="AI453" s="42">
        <v>8139</v>
      </c>
      <c r="AK453" s="268"/>
    </row>
    <row r="454" spans="2:37" ht="93.75">
      <c r="B454" s="24"/>
      <c r="C454" s="24"/>
      <c r="D454" s="275"/>
      <c r="E454" s="275"/>
      <c r="F454" s="272"/>
      <c r="G454" s="146" t="s">
        <v>70</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c r="AK454" s="268"/>
    </row>
    <row r="455" spans="2:37" ht="112.5">
      <c r="B455" s="24"/>
      <c r="C455" s="24"/>
      <c r="D455" s="275"/>
      <c r="E455" s="275"/>
      <c r="F455" s="272"/>
      <c r="G455" s="146" t="s">
        <v>72</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c r="AK455" s="268"/>
    </row>
    <row r="456" spans="2:37" ht="75">
      <c r="B456" s="24"/>
      <c r="C456" s="24"/>
      <c r="D456" s="275"/>
      <c r="E456" s="275"/>
      <c r="F456" s="272"/>
      <c r="G456" s="146" t="s">
        <v>73</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v>8500</v>
      </c>
      <c r="AK456" s="268"/>
    </row>
    <row r="457" spans="2:37" ht="75">
      <c r="B457" s="24"/>
      <c r="C457" s="24"/>
      <c r="D457" s="275"/>
      <c r="E457" s="275"/>
      <c r="F457" s="272"/>
      <c r="G457" s="146" t="s">
        <v>74</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c r="AK457" s="268"/>
    </row>
    <row r="458" spans="2:37" ht="93.75">
      <c r="B458" s="24"/>
      <c r="C458" s="24"/>
      <c r="D458" s="275"/>
      <c r="E458" s="275"/>
      <c r="F458" s="272"/>
      <c r="G458" s="146" t="s">
        <v>443</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c r="AK458" s="268"/>
    </row>
    <row r="459" spans="2:37" ht="37.5">
      <c r="B459" s="24"/>
      <c r="C459" s="24"/>
      <c r="D459" s="275"/>
      <c r="E459" s="275"/>
      <c r="F459" s="272"/>
      <c r="G459" s="146" t="s">
        <v>734</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c r="AK459" s="268"/>
    </row>
    <row r="460" spans="2:37" ht="112.5">
      <c r="B460" s="24"/>
      <c r="C460" s="24"/>
      <c r="D460" s="275"/>
      <c r="E460" s="275"/>
      <c r="F460" s="272"/>
      <c r="G460" s="146" t="s">
        <v>389</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c r="AK460" s="268"/>
    </row>
    <row r="461" spans="2:37" ht="112.5">
      <c r="B461" s="24"/>
      <c r="C461" s="24"/>
      <c r="D461" s="275"/>
      <c r="E461" s="275"/>
      <c r="F461" s="272"/>
      <c r="G461" s="146" t="s">
        <v>390</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c r="AK461" s="268"/>
    </row>
    <row r="462" spans="2:37" ht="112.5">
      <c r="B462" s="24"/>
      <c r="C462" s="24"/>
      <c r="D462" s="275"/>
      <c r="E462" s="275"/>
      <c r="F462" s="272"/>
      <c r="G462" s="146" t="s">
        <v>388</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1345.2+299994+8996.04+326987.8</f>
        <v>637323.04</v>
      </c>
      <c r="AK462" s="268"/>
    </row>
    <row r="463" spans="2:37" ht="112.5">
      <c r="B463" s="24"/>
      <c r="C463" s="24"/>
      <c r="D463" s="275"/>
      <c r="E463" s="275"/>
      <c r="F463" s="272"/>
      <c r="G463" s="146" t="s">
        <v>415</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f>585.6</f>
        <v>585.6</v>
      </c>
      <c r="AK463" s="268"/>
    </row>
    <row r="464" spans="2:37" ht="56.25">
      <c r="B464" s="5"/>
      <c r="D464" s="102"/>
      <c r="E464" s="103"/>
      <c r="F464" s="158" t="s">
        <v>567</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66766825.370000005</v>
      </c>
      <c r="AK464" s="268"/>
    </row>
    <row r="465" spans="2:37" ht="18.75">
      <c r="B465" s="17"/>
      <c r="D465" s="279" t="s">
        <v>335</v>
      </c>
      <c r="E465" s="279" t="s">
        <v>317</v>
      </c>
      <c r="F465" s="271" t="s">
        <v>336</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152000</v>
      </c>
      <c r="AK465" s="268"/>
    </row>
    <row r="466" spans="2:37" ht="37.5">
      <c r="B466" s="17"/>
      <c r="D466" s="281"/>
      <c r="E466" s="281"/>
      <c r="F466" s="273"/>
      <c r="G466" s="159" t="s">
        <v>444</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c r="AK466" s="268"/>
    </row>
    <row r="467" spans="2:37" ht="18.75">
      <c r="B467" s="5"/>
      <c r="C467" s="5"/>
      <c r="D467" s="274" t="s">
        <v>350</v>
      </c>
      <c r="E467" s="274" t="s">
        <v>270</v>
      </c>
      <c r="F467" s="271" t="s">
        <v>725</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3070593.99</v>
      </c>
      <c r="AK467" s="268"/>
    </row>
    <row r="468" spans="2:37" ht="54" hidden="1">
      <c r="B468" s="5"/>
      <c r="C468" s="5"/>
      <c r="D468" s="275"/>
      <c r="E468" s="275"/>
      <c r="F468" s="272"/>
      <c r="G468" s="141" t="s">
        <v>441</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c r="AK468" s="268"/>
    </row>
    <row r="469" spans="2:37" ht="150">
      <c r="B469" s="5"/>
      <c r="C469" s="5"/>
      <c r="D469" s="275"/>
      <c r="E469" s="275"/>
      <c r="F469" s="272"/>
      <c r="G469" s="141" t="s">
        <v>3</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40080+66627.6+549354+4843.2+3007.2+44088+151389.6+155788.8+87672+95201.76+9627+46170+138270+1155200</f>
        <v>2547319.16</v>
      </c>
      <c r="AK469" s="268"/>
    </row>
    <row r="470" spans="2:37" ht="56.25">
      <c r="B470" s="5"/>
      <c r="C470" s="5"/>
      <c r="D470" s="275"/>
      <c r="E470" s="275"/>
      <c r="F470" s="272"/>
      <c r="G470" s="141" t="s">
        <v>4</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c r="AK470" s="268"/>
    </row>
    <row r="471" spans="2:37" ht="56.25">
      <c r="B471" s="5"/>
      <c r="C471" s="5"/>
      <c r="D471" s="275"/>
      <c r="E471" s="275"/>
      <c r="F471" s="272"/>
      <c r="G471" s="141" t="s">
        <v>762</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c r="AK471" s="268"/>
    </row>
    <row r="472" spans="2:37" ht="72" hidden="1">
      <c r="B472" s="5"/>
      <c r="C472" s="5"/>
      <c r="D472" s="275"/>
      <c r="E472" s="275"/>
      <c r="F472" s="272"/>
      <c r="G472" s="94" t="s">
        <v>0</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c r="AK472" s="268"/>
    </row>
    <row r="473" spans="2:37" ht="72" hidden="1">
      <c r="B473" s="5"/>
      <c r="C473" s="5"/>
      <c r="D473" s="275"/>
      <c r="E473" s="275"/>
      <c r="F473" s="272"/>
      <c r="G473" s="94" t="s">
        <v>1</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c r="AK473" s="268"/>
    </row>
    <row r="474" spans="2:37" ht="56.25">
      <c r="B474" s="5"/>
      <c r="C474" s="5"/>
      <c r="D474" s="275"/>
      <c r="E474" s="275"/>
      <c r="F474" s="272"/>
      <c r="G474" s="94" t="s">
        <v>178</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c r="AK474" s="268"/>
    </row>
    <row r="475" spans="2:37" ht="56.25">
      <c r="B475" s="17"/>
      <c r="C475" s="17"/>
      <c r="D475" s="275"/>
      <c r="E475" s="275"/>
      <c r="F475" s="272"/>
      <c r="G475" s="94" t="s">
        <v>2</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3090+7209.99+96840</f>
        <v>107139.99</v>
      </c>
      <c r="AK475" s="268"/>
    </row>
    <row r="476" spans="2:37" ht="93.75">
      <c r="B476" s="17"/>
      <c r="C476" s="17"/>
      <c r="D476" s="275"/>
      <c r="E476" s="275"/>
      <c r="F476" s="272"/>
      <c r="G476" s="94" t="s">
        <v>163</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12009.56+4926+59600</f>
        <v>76535.56</v>
      </c>
      <c r="AK476" s="268"/>
    </row>
    <row r="477" spans="2:37" ht="56.25">
      <c r="B477" s="17"/>
      <c r="C477" s="17"/>
      <c r="D477" s="275"/>
      <c r="E477" s="275"/>
      <c r="F477" s="272"/>
      <c r="G477" s="94" t="s">
        <v>551</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f>2922+18000</f>
        <v>20922</v>
      </c>
      <c r="AK477" s="268"/>
    </row>
    <row r="478" spans="2:37" ht="75">
      <c r="B478" s="17"/>
      <c r="C478" s="17"/>
      <c r="D478" s="275"/>
      <c r="E478" s="275"/>
      <c r="F478" s="272"/>
      <c r="G478" s="94" t="s">
        <v>552</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c r="AK478" s="268"/>
    </row>
    <row r="479" spans="2:37" ht="75">
      <c r="B479" s="17"/>
      <c r="C479" s="17"/>
      <c r="D479" s="275"/>
      <c r="E479" s="275"/>
      <c r="F479" s="272"/>
      <c r="G479" s="94" t="s">
        <v>623</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c r="AK479" s="268"/>
    </row>
    <row r="480" spans="2:37" ht="75">
      <c r="B480" s="17"/>
      <c r="C480" s="17"/>
      <c r="D480" s="275"/>
      <c r="E480" s="275"/>
      <c r="F480" s="272"/>
      <c r="G480" s="94" t="s">
        <v>164</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c r="AK480" s="268"/>
    </row>
    <row r="481" spans="2:37" ht="75">
      <c r="B481" s="17"/>
      <c r="C481" s="17"/>
      <c r="D481" s="275"/>
      <c r="E481" s="275"/>
      <c r="F481" s="272"/>
      <c r="G481" s="94" t="s">
        <v>5</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c r="AK481" s="268"/>
    </row>
    <row r="482" spans="2:37" ht="75">
      <c r="B482" s="17"/>
      <c r="C482" s="17"/>
      <c r="D482" s="275"/>
      <c r="E482" s="275"/>
      <c r="F482" s="272"/>
      <c r="G482" s="94" t="s">
        <v>6</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c r="AK482" s="268"/>
    </row>
    <row r="483" spans="2:37" ht="75">
      <c r="B483" s="17"/>
      <c r="C483" s="17"/>
      <c r="D483" s="275"/>
      <c r="E483" s="275"/>
      <c r="F483" s="272"/>
      <c r="G483" s="94" t="s">
        <v>9</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c r="AK483" s="268"/>
    </row>
    <row r="484" spans="2:37" ht="75">
      <c r="B484" s="17"/>
      <c r="C484" s="17"/>
      <c r="D484" s="275"/>
      <c r="E484" s="275"/>
      <c r="F484" s="272"/>
      <c r="G484" s="94" t="s">
        <v>10</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c r="AK484" s="268"/>
    </row>
    <row r="485" spans="2:37" ht="72" hidden="1">
      <c r="B485" s="5"/>
      <c r="C485" s="5"/>
      <c r="D485" s="275"/>
      <c r="E485" s="275"/>
      <c r="F485" s="272"/>
      <c r="G485" s="94" t="s">
        <v>790</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c r="AK485" s="268"/>
    </row>
    <row r="486" spans="2:37" ht="93.75">
      <c r="B486" s="5"/>
      <c r="C486" s="5"/>
      <c r="D486" s="275"/>
      <c r="E486" s="275"/>
      <c r="F486" s="272"/>
      <c r="G486" s="94" t="s">
        <v>601</v>
      </c>
      <c r="H486" s="62"/>
      <c r="I486" s="149"/>
      <c r="J486" s="150"/>
      <c r="K486" s="42"/>
      <c r="L486" s="42"/>
      <c r="M486" s="42"/>
      <c r="N486" s="91">
        <v>3131</v>
      </c>
      <c r="O486" s="150"/>
      <c r="P486" s="150"/>
      <c r="Q486" s="53">
        <v>60000</v>
      </c>
      <c r="R486" s="53" t="s">
        <v>600</v>
      </c>
      <c r="S486" s="53"/>
      <c r="T486" s="53"/>
      <c r="U486" s="53"/>
      <c r="V486" s="53">
        <v>60000</v>
      </c>
      <c r="W486" s="42"/>
      <c r="X486" s="42"/>
      <c r="Y486" s="53"/>
      <c r="Z486" s="53">
        <v>60000</v>
      </c>
      <c r="AA486" s="53"/>
      <c r="AB486" s="53"/>
      <c r="AC486" s="53"/>
      <c r="AD486" s="53"/>
      <c r="AE486" s="53"/>
      <c r="AF486" s="53"/>
      <c r="AG486" s="53"/>
      <c r="AH486" s="53"/>
      <c r="AI486" s="42">
        <f>2076</f>
        <v>2076</v>
      </c>
      <c r="AK486" s="268"/>
    </row>
    <row r="487" spans="2:37" ht="131.25">
      <c r="B487" s="5"/>
      <c r="C487" s="5"/>
      <c r="D487" s="275"/>
      <c r="E487" s="275"/>
      <c r="F487" s="272"/>
      <c r="G487" s="94" t="s">
        <v>781</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c r="AK487" s="268"/>
    </row>
    <row r="488" spans="2:37" ht="93.75">
      <c r="B488" s="5"/>
      <c r="C488" s="5"/>
      <c r="D488" s="275"/>
      <c r="E488" s="275"/>
      <c r="F488" s="272"/>
      <c r="G488" s="94" t="s">
        <v>602</v>
      </c>
      <c r="H488" s="62"/>
      <c r="I488" s="149"/>
      <c r="J488" s="150"/>
      <c r="K488" s="42"/>
      <c r="L488" s="42"/>
      <c r="M488" s="42"/>
      <c r="N488" s="91">
        <v>3131</v>
      </c>
      <c r="O488" s="150"/>
      <c r="P488" s="150"/>
      <c r="Q488" s="53">
        <v>390275</v>
      </c>
      <c r="R488" s="53" t="s">
        <v>600</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5921+13816.52+296704</f>
        <v>316441.52</v>
      </c>
      <c r="AK488" s="268"/>
    </row>
    <row r="489" spans="2:37" ht="54" hidden="1">
      <c r="B489" s="17"/>
      <c r="C489" s="17"/>
      <c r="D489" s="275"/>
      <c r="E489" s="275"/>
      <c r="F489" s="272"/>
      <c r="G489" s="94" t="s">
        <v>791</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c r="AK489" s="268"/>
    </row>
    <row r="490" spans="2:37" ht="18.75">
      <c r="B490" s="17"/>
      <c r="C490" s="17"/>
      <c r="D490" s="277" t="s">
        <v>351</v>
      </c>
      <c r="E490" s="277" t="s">
        <v>270</v>
      </c>
      <c r="F490" s="269" t="s">
        <v>671</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15377.02</v>
      </c>
      <c r="AK490" s="268"/>
    </row>
    <row r="491" spans="2:37" ht="131.25">
      <c r="B491" s="17"/>
      <c r="C491" s="17"/>
      <c r="D491" s="278"/>
      <c r="E491" s="278"/>
      <c r="F491" s="269"/>
      <c r="G491" s="94" t="s">
        <v>792</v>
      </c>
      <c r="H491" s="62"/>
      <c r="I491" s="149"/>
      <c r="J491" s="150"/>
      <c r="K491" s="42"/>
      <c r="L491" s="42"/>
      <c r="M491" s="42"/>
      <c r="N491" s="267" t="s">
        <v>496</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f>15377.02</f>
        <v>15377.02</v>
      </c>
      <c r="AK491" s="268"/>
    </row>
    <row r="492" spans="2:37" ht="18.75">
      <c r="B492" s="5"/>
      <c r="C492" s="5"/>
      <c r="D492" s="274" t="s">
        <v>314</v>
      </c>
      <c r="E492" s="274" t="s">
        <v>315</v>
      </c>
      <c r="F492" s="271" t="s">
        <v>291</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580000</v>
      </c>
      <c r="AC492" s="56">
        <f t="shared" si="64"/>
        <v>1420000</v>
      </c>
      <c r="AD492" s="56">
        <f t="shared" si="64"/>
        <v>0</v>
      </c>
      <c r="AE492" s="56">
        <f t="shared" si="64"/>
        <v>417733</v>
      </c>
      <c r="AF492" s="56">
        <f t="shared" si="64"/>
        <v>50000</v>
      </c>
      <c r="AG492" s="56">
        <f t="shared" si="64"/>
        <v>742267</v>
      </c>
      <c r="AH492" s="56">
        <f t="shared" si="64"/>
        <v>0</v>
      </c>
      <c r="AI492" s="56">
        <f t="shared" si="64"/>
        <v>901926.14</v>
      </c>
      <c r="AK492" s="268"/>
    </row>
    <row r="493" spans="2:37" ht="112.5">
      <c r="B493" s="5"/>
      <c r="C493" s="5"/>
      <c r="D493" s="275"/>
      <c r="E493" s="275"/>
      <c r="F493" s="272"/>
      <c r="G493" s="164" t="s">
        <v>793</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31495.12+710</f>
        <v>32205.12</v>
      </c>
      <c r="AK493" s="268"/>
    </row>
    <row r="494" spans="2:37" ht="75">
      <c r="B494" s="5"/>
      <c r="C494" s="5"/>
      <c r="D494" s="275"/>
      <c r="E494" s="275"/>
      <c r="F494" s="272"/>
      <c r="G494" s="94" t="s">
        <v>794</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c r="AK494" s="268"/>
    </row>
    <row r="495" spans="2:37" ht="56.25">
      <c r="B495" s="5"/>
      <c r="C495" s="5"/>
      <c r="D495" s="275"/>
      <c r="E495" s="275"/>
      <c r="F495" s="272"/>
      <c r="G495" s="94" t="s">
        <v>795</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c r="AK495" s="268"/>
    </row>
    <row r="496" spans="2:37" ht="37.5">
      <c r="B496" s="5"/>
      <c r="C496" s="5"/>
      <c r="D496" s="275"/>
      <c r="E496" s="275"/>
      <c r="F496" s="272"/>
      <c r="G496" s="94" t="s">
        <v>379</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c r="AK496" s="268"/>
    </row>
    <row r="497" spans="2:37" ht="56.25">
      <c r="B497" s="17"/>
      <c r="C497" s="17"/>
      <c r="D497" s="275"/>
      <c r="E497" s="275"/>
      <c r="F497" s="272"/>
      <c r="G497" s="94" t="s">
        <v>796</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c r="AK497" s="268"/>
    </row>
    <row r="498" spans="2:37" ht="18" hidden="1">
      <c r="B498" s="17"/>
      <c r="C498" s="17"/>
      <c r="D498" s="277" t="s">
        <v>273</v>
      </c>
      <c r="E498" s="277" t="s">
        <v>274</v>
      </c>
      <c r="F498" s="271" t="s">
        <v>297</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c r="AK498" s="268"/>
    </row>
    <row r="499" spans="2:37" ht="36" hidden="1">
      <c r="B499" s="17"/>
      <c r="C499" s="17"/>
      <c r="D499" s="278"/>
      <c r="E499" s="278"/>
      <c r="F499" s="272"/>
      <c r="G499" s="167" t="s">
        <v>797</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c r="AK499" s="268"/>
    </row>
    <row r="500" spans="2:37" ht="18.75">
      <c r="B500" s="5"/>
      <c r="C500" s="5"/>
      <c r="D500" s="274" t="s">
        <v>679</v>
      </c>
      <c r="E500" s="274" t="s">
        <v>188</v>
      </c>
      <c r="F500" s="271" t="s">
        <v>217</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3418235.38</v>
      </c>
      <c r="AC500" s="56">
        <f t="shared" si="66"/>
        <v>20683192.62</v>
      </c>
      <c r="AD500" s="56">
        <f t="shared" si="66"/>
        <v>9460927</v>
      </c>
      <c r="AE500" s="56">
        <f t="shared" si="66"/>
        <v>2446582.25</v>
      </c>
      <c r="AF500" s="56">
        <f t="shared" si="66"/>
        <v>9634229.57</v>
      </c>
      <c r="AG500" s="56">
        <f t="shared" si="66"/>
        <v>4831115.18</v>
      </c>
      <c r="AH500" s="56">
        <f t="shared" si="66"/>
        <v>4248339</v>
      </c>
      <c r="AI500" s="56">
        <f t="shared" si="66"/>
        <v>47070367.39</v>
      </c>
      <c r="AK500" s="268"/>
    </row>
    <row r="501" spans="2:37" ht="75">
      <c r="B501" s="17"/>
      <c r="C501" s="17"/>
      <c r="D501" s="275"/>
      <c r="E501" s="275"/>
      <c r="F501" s="272"/>
      <c r="G501" s="164" t="s">
        <v>798</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c r="AK501" s="268"/>
    </row>
    <row r="502" spans="2:37" ht="93.75">
      <c r="B502" s="17"/>
      <c r="C502" s="17"/>
      <c r="D502" s="275"/>
      <c r="E502" s="275"/>
      <c r="F502" s="272"/>
      <c r="G502" s="164" t="s">
        <v>28</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c r="AK502" s="268"/>
    </row>
    <row r="503" spans="2:37" ht="75">
      <c r="B503" s="17"/>
      <c r="C503" s="17"/>
      <c r="D503" s="275"/>
      <c r="E503" s="275"/>
      <c r="F503" s="272"/>
      <c r="G503" s="164" t="s">
        <v>481</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v>40000</v>
      </c>
      <c r="AD503" s="53"/>
      <c r="AE503" s="53"/>
      <c r="AF503" s="53">
        <f>420000-420000</f>
        <v>0</v>
      </c>
      <c r="AG503" s="53">
        <f>170000-130000-40000</f>
        <v>0</v>
      </c>
      <c r="AH503" s="53"/>
      <c r="AI503" s="53"/>
      <c r="AK503" s="268"/>
    </row>
    <row r="504" spans="2:37" ht="75">
      <c r="B504" s="17"/>
      <c r="C504" s="17"/>
      <c r="D504" s="275"/>
      <c r="E504" s="275"/>
      <c r="F504" s="272"/>
      <c r="G504" s="164" t="s">
        <v>29</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v>270000</v>
      </c>
      <c r="AK504" s="268"/>
    </row>
    <row r="505" spans="2:37" ht="75">
      <c r="B505" s="17"/>
      <c r="C505" s="17"/>
      <c r="D505" s="275"/>
      <c r="E505" s="275"/>
      <c r="F505" s="272"/>
      <c r="G505" s="164" t="s">
        <v>47</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v>100000</v>
      </c>
      <c r="AD505" s="53">
        <f>100000-100000</f>
        <v>0</v>
      </c>
      <c r="AE505" s="53"/>
      <c r="AF505" s="53"/>
      <c r="AG505" s="53"/>
      <c r="AH505" s="53"/>
      <c r="AI505" s="53">
        <f>20000+15000+230000</f>
        <v>265000</v>
      </c>
      <c r="AK505" s="268"/>
    </row>
    <row r="506" spans="2:37" ht="75">
      <c r="B506" s="17"/>
      <c r="C506" s="17"/>
      <c r="D506" s="275"/>
      <c r="E506" s="275"/>
      <c r="F506" s="272"/>
      <c r="G506" s="164" t="s">
        <v>258</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c r="AK506" s="268"/>
    </row>
    <row r="507" spans="2:37" ht="75">
      <c r="B507" s="17"/>
      <c r="C507" s="17"/>
      <c r="D507" s="275"/>
      <c r="E507" s="275"/>
      <c r="F507" s="272"/>
      <c r="G507" s="164" t="s">
        <v>514</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v>80000</v>
      </c>
      <c r="AD507" s="53">
        <f>80000-80000</f>
        <v>0</v>
      </c>
      <c r="AE507" s="53"/>
      <c r="AF507" s="53"/>
      <c r="AG507" s="53"/>
      <c r="AH507" s="53"/>
      <c r="AI507" s="53">
        <f>20000+15000+147000</f>
        <v>182000</v>
      </c>
      <c r="AK507" s="268"/>
    </row>
    <row r="508" spans="2:37" ht="75">
      <c r="B508" s="17"/>
      <c r="C508" s="17"/>
      <c r="D508" s="275"/>
      <c r="E508" s="275"/>
      <c r="F508" s="272"/>
      <c r="G508" s="164" t="s">
        <v>706</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14000+420000+13000</f>
        <v>447000</v>
      </c>
      <c r="AK508" s="268"/>
    </row>
    <row r="509" spans="2:37" ht="75">
      <c r="B509" s="17"/>
      <c r="C509" s="17"/>
      <c r="D509" s="275"/>
      <c r="E509" s="275"/>
      <c r="F509" s="272"/>
      <c r="G509" s="164" t="s">
        <v>515</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c r="AK509" s="268"/>
    </row>
    <row r="510" spans="2:37" ht="36" hidden="1">
      <c r="B510" s="17"/>
      <c r="C510" s="17"/>
      <c r="D510" s="275"/>
      <c r="E510" s="275"/>
      <c r="F510" s="272"/>
      <c r="G510" s="164" t="s">
        <v>482</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c r="AK510" s="268"/>
    </row>
    <row r="511" spans="2:37" ht="56.25">
      <c r="B511" s="17"/>
      <c r="C511" s="17"/>
      <c r="D511" s="275"/>
      <c r="E511" s="275"/>
      <c r="F511" s="272"/>
      <c r="G511" s="164" t="s">
        <v>707</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57000+1000000</f>
        <v>1057000</v>
      </c>
      <c r="AK511" s="268"/>
    </row>
    <row r="512" spans="2:37" ht="37.5">
      <c r="B512" s="17"/>
      <c r="C512" s="17"/>
      <c r="D512" s="275"/>
      <c r="E512" s="275"/>
      <c r="F512" s="272"/>
      <c r="G512" s="164" t="s">
        <v>483</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c r="AK512" s="268"/>
    </row>
    <row r="513" spans="2:37" ht="37.5">
      <c r="B513" s="17"/>
      <c r="C513" s="17"/>
      <c r="D513" s="275"/>
      <c r="E513" s="275"/>
      <c r="F513" s="272"/>
      <c r="G513" s="164" t="s">
        <v>484</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c r="AK513" s="268"/>
    </row>
    <row r="514" spans="2:37" ht="54" hidden="1">
      <c r="B514" s="17"/>
      <c r="C514" s="17"/>
      <c r="D514" s="275"/>
      <c r="E514" s="275"/>
      <c r="F514" s="272"/>
      <c r="G514" s="164" t="s">
        <v>32</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c r="AK514" s="268"/>
    </row>
    <row r="515" spans="2:37" ht="56.25">
      <c r="B515" s="17"/>
      <c r="C515" s="17"/>
      <c r="D515" s="275"/>
      <c r="E515" s="275"/>
      <c r="F515" s="272"/>
      <c r="G515" s="164" t="s">
        <v>490</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c r="AK515" s="268"/>
    </row>
    <row r="516" spans="2:37" ht="56.25">
      <c r="B516" s="17"/>
      <c r="C516" s="17"/>
      <c r="D516" s="275"/>
      <c r="E516" s="275"/>
      <c r="F516" s="272"/>
      <c r="G516" s="164" t="s">
        <v>491</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c r="AK516" s="268"/>
    </row>
    <row r="517" spans="2:37" ht="56.25">
      <c r="B517" s="17"/>
      <c r="C517" s="17"/>
      <c r="D517" s="275"/>
      <c r="E517" s="275"/>
      <c r="F517" s="272"/>
      <c r="G517" s="164" t="s">
        <v>492</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c r="AK517" s="268"/>
    </row>
    <row r="518" spans="2:37" ht="56.25">
      <c r="B518" s="17"/>
      <c r="C518" s="17"/>
      <c r="D518" s="275"/>
      <c r="E518" s="275"/>
      <c r="F518" s="272"/>
      <c r="G518" s="164" t="s">
        <v>30</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c r="AK518" s="268"/>
    </row>
    <row r="519" spans="2:37" ht="56.25">
      <c r="B519" s="17"/>
      <c r="C519" s="17"/>
      <c r="D519" s="275"/>
      <c r="E519" s="275"/>
      <c r="F519" s="272"/>
      <c r="G519" s="164" t="s">
        <v>31</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c r="AK519" s="268"/>
    </row>
    <row r="520" spans="2:37" ht="37.5">
      <c r="B520" s="17"/>
      <c r="C520" s="17"/>
      <c r="D520" s="275"/>
      <c r="E520" s="275"/>
      <c r="F520" s="272"/>
      <c r="G520" s="164" t="s">
        <v>784</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713333-713333+2700000-660000-1677900+1963660</f>
        <v>2325760</v>
      </c>
      <c r="AD520" s="53">
        <f>733333-733333+7045000+413527-3827900-1700000-753200-58660</f>
        <v>1118767</v>
      </c>
      <c r="AE520" s="53">
        <f>833334-833334+973488.25+100000-1073488.25</f>
        <v>0</v>
      </c>
      <c r="AF520" s="53">
        <f>692000-57666-634334+701511.75-701511.75</f>
        <v>0</v>
      </c>
      <c r="AG520" s="53">
        <f>130000-130000</f>
        <v>0</v>
      </c>
      <c r="AH520" s="53"/>
      <c r="AI520" s="53">
        <f>414000+1600000+35000+1475000+377786.33+128012.49+735000+730000+735000+50000+30000+35000+422065.03+30000+56670+76050+7050+67950+52185+1000000+353093.67+173571.2+4300000+41000+60000+153050+35000+2857272.74+30000+473252.8+70000+1050000+141590+280000+797359.88</f>
        <v>18871959.14</v>
      </c>
      <c r="AK520" s="268"/>
    </row>
    <row r="521" spans="2:37" ht="56.25">
      <c r="B521" s="17"/>
      <c r="C521" s="17"/>
      <c r="D521" s="275"/>
      <c r="E521" s="275"/>
      <c r="F521" s="272"/>
      <c r="G521" s="164" t="s">
        <v>503</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c r="AK521" s="268"/>
    </row>
    <row r="522" spans="2:37" ht="37.5">
      <c r="B522" s="17"/>
      <c r="C522" s="17"/>
      <c r="D522" s="275"/>
      <c r="E522" s="275"/>
      <c r="F522" s="272"/>
      <c r="G522" s="164" t="s">
        <v>504</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173000+900000+31000+900000+32000+1100000+32000+500000+21466.9</f>
        <v>3689466.9</v>
      </c>
      <c r="AK522" s="268"/>
    </row>
    <row r="523" spans="2:37" ht="54" hidden="1">
      <c r="B523" s="17"/>
      <c r="C523" s="17"/>
      <c r="D523" s="275"/>
      <c r="E523" s="275"/>
      <c r="F523" s="272"/>
      <c r="G523" s="164" t="s">
        <v>505</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c r="AK523" s="268"/>
    </row>
    <row r="524" spans="2:37" ht="93.75">
      <c r="B524" s="17"/>
      <c r="C524" s="17"/>
      <c r="D524" s="275"/>
      <c r="E524" s="275"/>
      <c r="F524" s="272"/>
      <c r="G524" s="164" t="s">
        <v>474</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c r="AK524" s="268"/>
    </row>
    <row r="525" spans="2:37" ht="75">
      <c r="B525" s="17"/>
      <c r="C525" s="17"/>
      <c r="D525" s="275"/>
      <c r="E525" s="275"/>
      <c r="F525" s="272"/>
      <c r="G525" s="164" t="s">
        <v>624</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c r="AK525" s="268"/>
    </row>
    <row r="526" spans="2:37" ht="18.75">
      <c r="B526" s="17"/>
      <c r="C526" s="17"/>
      <c r="D526" s="275"/>
      <c r="E526" s="275"/>
      <c r="F526" s="272"/>
      <c r="G526" s="52" t="s">
        <v>58</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3263175+1196936+1083633.68+1062941-1383336+29005.67+48813</f>
        <v>5301168.35</v>
      </c>
      <c r="AK526" s="268"/>
    </row>
    <row r="527" spans="2:37" ht="37.5">
      <c r="B527" s="17"/>
      <c r="C527" s="17"/>
      <c r="D527" s="275"/>
      <c r="E527" s="275"/>
      <c r="F527" s="272"/>
      <c r="G527" s="52" t="s">
        <v>59</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4300000-2700000-721000-879133</f>
        <v>-133</v>
      </c>
      <c r="AD527" s="42">
        <f>2300000-2300000+869000+1000000</f>
        <v>1869000</v>
      </c>
      <c r="AE527" s="42">
        <v>7621.25</v>
      </c>
      <c r="AF527" s="42">
        <f>634334+1500000+701511.75</f>
        <v>2835845.75</v>
      </c>
      <c r="AG527" s="42">
        <v>170000</v>
      </c>
      <c r="AH527" s="42"/>
      <c r="AI527" s="42">
        <f>43726+73807</f>
        <v>117533</v>
      </c>
      <c r="AK527" s="268"/>
    </row>
    <row r="528" spans="2:37" ht="56.25">
      <c r="B528" s="17"/>
      <c r="C528" s="17"/>
      <c r="D528" s="275"/>
      <c r="E528" s="275"/>
      <c r="F528" s="272"/>
      <c r="G528" s="164" t="s">
        <v>475</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400000+512000+201333+375000-1304527</f>
        <v>183806</v>
      </c>
      <c r="AD528" s="42">
        <f>733333+150000+2138167+238660</f>
        <v>3260160</v>
      </c>
      <c r="AE528" s="42">
        <f>833334+200000+80000+1065867</f>
        <v>2179201</v>
      </c>
      <c r="AF528" s="42">
        <f>57666+34088.25</f>
        <v>91754.25</v>
      </c>
      <c r="AG528" s="42">
        <v>1211744.75</v>
      </c>
      <c r="AH528" s="42"/>
      <c r="AI528" s="42">
        <v>73140</v>
      </c>
      <c r="AK528" s="268"/>
    </row>
    <row r="529" spans="2:37" ht="36" hidden="1">
      <c r="B529" s="5"/>
      <c r="C529" s="5"/>
      <c r="D529" s="275"/>
      <c r="E529" s="275"/>
      <c r="F529" s="272"/>
      <c r="G529" s="164" t="s">
        <v>493</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c r="AK529" s="268"/>
    </row>
    <row r="530" spans="2:37" ht="36" hidden="1">
      <c r="B530" s="5"/>
      <c r="C530" s="5"/>
      <c r="D530" s="275"/>
      <c r="E530" s="275"/>
      <c r="F530" s="272"/>
      <c r="G530" s="164" t="s">
        <v>494</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c r="AK530" s="268"/>
    </row>
    <row r="531" spans="2:37" ht="54" hidden="1">
      <c r="B531" s="5"/>
      <c r="C531" s="5"/>
      <c r="D531" s="275"/>
      <c r="E531" s="275"/>
      <c r="F531" s="272"/>
      <c r="G531" s="94" t="s">
        <v>131</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c r="AK531" s="268"/>
    </row>
    <row r="532" spans="2:37" ht="18.75">
      <c r="B532" s="5"/>
      <c r="C532" s="5"/>
      <c r="D532" s="277" t="s">
        <v>392</v>
      </c>
      <c r="E532" s="277" t="s">
        <v>315</v>
      </c>
      <c r="F532" s="271" t="s">
        <v>191</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5161701.57</v>
      </c>
      <c r="AC532" s="56">
        <f t="shared" si="67"/>
        <v>4208000</v>
      </c>
      <c r="AD532" s="56">
        <f t="shared" si="67"/>
        <v>12115040.23</v>
      </c>
      <c r="AE532" s="56">
        <f t="shared" si="67"/>
        <v>3672500</v>
      </c>
      <c r="AF532" s="56">
        <f t="shared" si="67"/>
        <v>3476420.0700000003</v>
      </c>
      <c r="AG532" s="56">
        <f t="shared" si="67"/>
        <v>1383200</v>
      </c>
      <c r="AH532" s="56">
        <f t="shared" si="67"/>
        <v>4311559.77</v>
      </c>
      <c r="AI532" s="56">
        <f t="shared" si="67"/>
        <v>15556560.830000002</v>
      </c>
      <c r="AK532" s="268"/>
    </row>
    <row r="533" spans="2:37" ht="56.25">
      <c r="B533" s="5"/>
      <c r="C533" s="5"/>
      <c r="D533" s="278"/>
      <c r="E533" s="278"/>
      <c r="F533" s="272"/>
      <c r="G533" s="176" t="s">
        <v>674</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2783601.5700000003</v>
      </c>
      <c r="AC533" s="64">
        <f t="shared" si="68"/>
        <v>2483000</v>
      </c>
      <c r="AD533" s="64">
        <f t="shared" si="68"/>
        <v>1795200</v>
      </c>
      <c r="AE533" s="64">
        <f t="shared" si="68"/>
        <v>2165400</v>
      </c>
      <c r="AF533" s="64">
        <f t="shared" si="68"/>
        <v>0</v>
      </c>
      <c r="AG533" s="64">
        <f t="shared" si="68"/>
        <v>1253200</v>
      </c>
      <c r="AH533" s="64">
        <f t="shared" si="68"/>
        <v>2506400</v>
      </c>
      <c r="AI533" s="64">
        <f t="shared" si="68"/>
        <v>5071618.8</v>
      </c>
      <c r="AK533" s="268"/>
    </row>
    <row r="534" spans="2:37" ht="75">
      <c r="B534" s="5"/>
      <c r="C534" s="5"/>
      <c r="D534" s="278"/>
      <c r="E534" s="278"/>
      <c r="F534" s="272"/>
      <c r="G534" s="164" t="s">
        <v>132</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888081.6+92347.2+4091190</f>
        <v>5071618.8</v>
      </c>
      <c r="AK534" s="268"/>
    </row>
    <row r="535" spans="2:37" ht="56.25">
      <c r="B535" s="5"/>
      <c r="C535" s="5"/>
      <c r="D535" s="278"/>
      <c r="E535" s="278"/>
      <c r="F535" s="272"/>
      <c r="G535" s="164" t="s">
        <v>162</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c r="AK535" s="268"/>
    </row>
    <row r="536" spans="2:37" ht="34.5" hidden="1">
      <c r="B536" s="5"/>
      <c r="C536" s="5"/>
      <c r="D536" s="278"/>
      <c r="E536" s="278"/>
      <c r="F536" s="272"/>
      <c r="G536" s="176" t="s">
        <v>675</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c r="AK536" s="268"/>
    </row>
    <row r="537" spans="2:37" ht="18" hidden="1">
      <c r="B537" s="5"/>
      <c r="C537" s="5"/>
      <c r="D537" s="278"/>
      <c r="E537" s="278"/>
      <c r="F537" s="272"/>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c r="AK537" s="268"/>
    </row>
    <row r="538" spans="2:37" ht="18" hidden="1">
      <c r="B538" s="5"/>
      <c r="C538" s="5"/>
      <c r="D538" s="278"/>
      <c r="E538" s="278"/>
      <c r="F538" s="272"/>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c r="AK538" s="268"/>
    </row>
    <row r="539" spans="2:37" ht="34.5" hidden="1">
      <c r="B539" s="5"/>
      <c r="C539" s="5"/>
      <c r="D539" s="278"/>
      <c r="E539" s="278"/>
      <c r="F539" s="272"/>
      <c r="G539" s="181" t="s">
        <v>676</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c r="AK539" s="268"/>
    </row>
    <row r="540" spans="2:37" ht="18" hidden="1">
      <c r="B540" s="5"/>
      <c r="C540" s="5"/>
      <c r="D540" s="278"/>
      <c r="E540" s="278"/>
      <c r="F540" s="272"/>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c r="AK540" s="268"/>
    </row>
    <row r="541" spans="2:37" ht="18" hidden="1">
      <c r="B541" s="5"/>
      <c r="C541" s="5"/>
      <c r="D541" s="278"/>
      <c r="E541" s="278"/>
      <c r="F541" s="272"/>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c r="AK541" s="268"/>
    </row>
    <row r="542" spans="2:37" ht="34.5" hidden="1">
      <c r="B542" s="5"/>
      <c r="C542" s="5"/>
      <c r="D542" s="278"/>
      <c r="E542" s="278"/>
      <c r="F542" s="272"/>
      <c r="G542" s="181" t="s">
        <v>738</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c r="AK542" s="268"/>
    </row>
    <row r="543" spans="2:37" ht="18" hidden="1">
      <c r="B543" s="5"/>
      <c r="C543" s="5"/>
      <c r="D543" s="278"/>
      <c r="E543" s="278"/>
      <c r="F543" s="272"/>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c r="AK543" s="268"/>
    </row>
    <row r="544" spans="2:37" ht="56.25">
      <c r="B544" s="5"/>
      <c r="C544" s="5"/>
      <c r="D544" s="278"/>
      <c r="E544" s="278"/>
      <c r="F544" s="272"/>
      <c r="G544" s="95" t="s">
        <v>677</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1228366</v>
      </c>
      <c r="AK544" s="268"/>
    </row>
    <row r="545" spans="2:37" ht="75">
      <c r="B545" s="5"/>
      <c r="C545" s="5"/>
      <c r="D545" s="278"/>
      <c r="E545" s="278"/>
      <c r="F545" s="272"/>
      <c r="G545" s="94" t="s">
        <v>149</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c r="AK545" s="268"/>
    </row>
    <row r="546" spans="2:37" ht="75">
      <c r="B546" s="5"/>
      <c r="C546" s="5"/>
      <c r="D546" s="278"/>
      <c r="E546" s="278"/>
      <c r="F546" s="272"/>
      <c r="G546" s="94" t="s">
        <v>150</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c r="AK546" s="268"/>
    </row>
    <row r="547" spans="2:37" ht="56.25">
      <c r="B547" s="5"/>
      <c r="C547" s="5"/>
      <c r="D547" s="278"/>
      <c r="E547" s="278"/>
      <c r="F547" s="272"/>
      <c r="G547" s="94" t="s">
        <v>151</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c r="AK547" s="268"/>
    </row>
    <row r="548" spans="2:37" ht="75">
      <c r="B548" s="5"/>
      <c r="C548" s="5"/>
      <c r="D548" s="278"/>
      <c r="E548" s="278"/>
      <c r="F548" s="272"/>
      <c r="G548" s="94" t="s">
        <v>406</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c r="AK548" s="268"/>
    </row>
    <row r="549" spans="2:37" ht="56.25">
      <c r="B549" s="5"/>
      <c r="C549" s="5"/>
      <c r="D549" s="278"/>
      <c r="E549" s="278"/>
      <c r="F549" s="272"/>
      <c r="G549" s="94" t="s">
        <v>407</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c r="AK549" s="268"/>
    </row>
    <row r="550" spans="2:37" ht="37.5">
      <c r="B550" s="5"/>
      <c r="C550" s="5"/>
      <c r="D550" s="278"/>
      <c r="E550" s="278"/>
      <c r="F550" s="272"/>
      <c r="G550" s="94" t="s">
        <v>385</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c r="AK550" s="268"/>
    </row>
    <row r="551" spans="2:37" ht="93.75">
      <c r="B551" s="5"/>
      <c r="C551" s="5"/>
      <c r="D551" s="278"/>
      <c r="E551" s="278"/>
      <c r="F551" s="272"/>
      <c r="G551" s="94" t="s">
        <v>152</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c r="AK551" s="268"/>
    </row>
    <row r="552" spans="2:37" ht="75">
      <c r="B552" s="5"/>
      <c r="C552" s="5"/>
      <c r="D552" s="278"/>
      <c r="E552" s="278"/>
      <c r="F552" s="272"/>
      <c r="G552" s="94" t="s">
        <v>12</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c r="AK552" s="268"/>
    </row>
    <row r="553" spans="2:37" ht="75">
      <c r="B553" s="5"/>
      <c r="C553" s="5"/>
      <c r="D553" s="278"/>
      <c r="E553" s="278"/>
      <c r="F553" s="272"/>
      <c r="G553" s="94" t="s">
        <v>153</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c r="AK553" s="268"/>
    </row>
    <row r="554" spans="2:37" ht="37.5">
      <c r="B554" s="5"/>
      <c r="C554" s="5"/>
      <c r="D554" s="278"/>
      <c r="E554" s="278"/>
      <c r="F554" s="272"/>
      <c r="G554" s="95" t="s">
        <v>668</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5935828.930000001</v>
      </c>
      <c r="AK554" s="268"/>
    </row>
    <row r="555" spans="2:37" ht="75">
      <c r="B555" s="5"/>
      <c r="C555" s="5"/>
      <c r="D555" s="278"/>
      <c r="E555" s="278"/>
      <c r="F555" s="272"/>
      <c r="G555" s="94" t="s">
        <v>599</v>
      </c>
      <c r="H555" s="65"/>
      <c r="I555" s="152"/>
      <c r="J555" s="65"/>
      <c r="K555" s="42"/>
      <c r="L555" s="42"/>
      <c r="M555" s="42"/>
      <c r="N555" s="91">
        <v>3210</v>
      </c>
      <c r="O555" s="65"/>
      <c r="P555" s="65"/>
      <c r="Q555" s="43">
        <v>2000000</v>
      </c>
      <c r="R555" s="43" t="s">
        <v>600</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c r="AK555" s="268"/>
    </row>
    <row r="556" spans="2:37" ht="75">
      <c r="B556" s="5"/>
      <c r="C556" s="5"/>
      <c r="D556" s="278"/>
      <c r="E556" s="278"/>
      <c r="F556" s="272"/>
      <c r="G556" s="94" t="s">
        <v>154</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383306.36+140867.39+72101.62+1937482.6</f>
        <v>2533757.97</v>
      </c>
      <c r="AK556" s="268"/>
    </row>
    <row r="557" spans="2:37" ht="75">
      <c r="B557" s="5"/>
      <c r="C557" s="5"/>
      <c r="D557" s="278"/>
      <c r="E557" s="278"/>
      <c r="F557" s="272"/>
      <c r="G557" s="94" t="s">
        <v>155</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c r="AK557" s="268"/>
    </row>
    <row r="558" spans="2:37" ht="75">
      <c r="B558" s="5"/>
      <c r="C558" s="5"/>
      <c r="D558" s="278"/>
      <c r="E558" s="278"/>
      <c r="F558" s="272"/>
      <c r="G558" s="94" t="s">
        <v>156</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c r="AK558" s="268"/>
    </row>
    <row r="559" spans="2:37" ht="93.75">
      <c r="B559" s="5"/>
      <c r="C559" s="5"/>
      <c r="D559" s="278"/>
      <c r="E559" s="278"/>
      <c r="F559" s="272"/>
      <c r="G559" s="94" t="s">
        <v>157</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c r="AK559" s="268"/>
    </row>
    <row r="560" spans="2:37" ht="56.25">
      <c r="B560" s="5"/>
      <c r="C560" s="5"/>
      <c r="D560" s="278"/>
      <c r="E560" s="278"/>
      <c r="F560" s="272"/>
      <c r="G560" s="191" t="s">
        <v>739</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c r="AK560" s="268"/>
    </row>
    <row r="561" spans="2:37" ht="37.5">
      <c r="B561" s="5"/>
      <c r="C561" s="5"/>
      <c r="D561" s="278"/>
      <c r="E561" s="278"/>
      <c r="F561" s="272"/>
      <c r="G561" s="193" t="s">
        <v>158</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c r="AK561" s="268"/>
    </row>
    <row r="562" spans="2:37" ht="75">
      <c r="B562" s="5"/>
      <c r="C562" s="5"/>
      <c r="D562" s="278"/>
      <c r="E562" s="278"/>
      <c r="F562" s="272"/>
      <c r="G562" s="193" t="s">
        <v>159</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c r="AK562" s="268"/>
    </row>
    <row r="563" spans="2:37" ht="56.25">
      <c r="B563" s="5"/>
      <c r="C563" s="5"/>
      <c r="D563" s="278"/>
      <c r="E563" s="278"/>
      <c r="F563" s="272"/>
      <c r="G563" s="193" t="s">
        <v>160</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c r="AK563" s="268"/>
    </row>
    <row r="564" spans="2:37" ht="56.25">
      <c r="B564" s="5"/>
      <c r="C564" s="5"/>
      <c r="D564" s="278"/>
      <c r="E564" s="278"/>
      <c r="F564" s="272"/>
      <c r="G564" s="193" t="s">
        <v>161</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c r="AK564" s="268"/>
    </row>
    <row r="565" spans="2:37" ht="56.25">
      <c r="B565" s="5"/>
      <c r="C565" s="5"/>
      <c r="D565" s="278"/>
      <c r="E565" s="278"/>
      <c r="F565" s="272"/>
      <c r="G565" s="193" t="s">
        <v>603</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c r="AK565" s="268"/>
    </row>
    <row r="566" spans="2:37" ht="36">
      <c r="B566" s="5"/>
      <c r="C566" s="5"/>
      <c r="D566" s="278"/>
      <c r="E566" s="278"/>
      <c r="F566" s="272"/>
      <c r="G566" s="193" t="s">
        <v>604</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c r="AK566" s="268"/>
    </row>
    <row r="567" spans="2:37" ht="36">
      <c r="B567" s="5"/>
      <c r="C567" s="5"/>
      <c r="D567" s="278"/>
      <c r="E567" s="278"/>
      <c r="F567" s="272"/>
      <c r="G567" s="193" t="s">
        <v>605</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c r="AK567" s="268"/>
    </row>
    <row r="568" spans="2:37" ht="36">
      <c r="B568" s="5"/>
      <c r="C568" s="5"/>
      <c r="D568" s="278"/>
      <c r="E568" s="278"/>
      <c r="F568" s="272"/>
      <c r="G568" s="193" t="s">
        <v>606</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c r="AK568" s="268"/>
    </row>
    <row r="569" spans="2:37" ht="36">
      <c r="B569" s="5"/>
      <c r="C569" s="5"/>
      <c r="D569" s="278"/>
      <c r="E569" s="278"/>
      <c r="F569" s="272"/>
      <c r="G569" s="193" t="s">
        <v>607</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c r="AK569" s="268"/>
    </row>
    <row r="570" spans="2:37" ht="36">
      <c r="B570" s="5"/>
      <c r="C570" s="5"/>
      <c r="D570" s="278"/>
      <c r="E570" s="278"/>
      <c r="F570" s="272"/>
      <c r="G570" s="193" t="s">
        <v>608</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c r="AK570" s="268"/>
    </row>
    <row r="571" spans="2:37" ht="108">
      <c r="B571" s="5"/>
      <c r="C571" s="5"/>
      <c r="D571" s="278"/>
      <c r="E571" s="278"/>
      <c r="F571" s="272"/>
      <c r="G571" s="193" t="s">
        <v>782</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c r="AK571" s="268"/>
    </row>
    <row r="572" spans="2:37" ht="51.75">
      <c r="B572" s="5"/>
      <c r="C572" s="5"/>
      <c r="D572" s="278"/>
      <c r="E572" s="278"/>
      <c r="F572" s="272"/>
      <c r="G572" s="95" t="s">
        <v>310</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1267019.45</v>
      </c>
      <c r="AK572" s="268"/>
    </row>
    <row r="573" spans="2:37" ht="36">
      <c r="B573" s="5"/>
      <c r="C573" s="5"/>
      <c r="D573" s="278"/>
      <c r="E573" s="278"/>
      <c r="F573" s="272"/>
      <c r="G573" s="94" t="s">
        <v>609</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c r="AK573" s="268"/>
    </row>
    <row r="574" spans="2:37" ht="54">
      <c r="B574" s="5"/>
      <c r="C574" s="5"/>
      <c r="D574" s="278"/>
      <c r="E574" s="278"/>
      <c r="F574" s="272"/>
      <c r="G574" s="94" t="s">
        <v>610</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c r="AK574" s="268"/>
    </row>
    <row r="575" spans="2:37" ht="54">
      <c r="B575" s="5"/>
      <c r="C575" s="5"/>
      <c r="D575" s="278"/>
      <c r="E575" s="278"/>
      <c r="F575" s="272"/>
      <c r="G575" s="94" t="s">
        <v>170</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c r="AK575" s="268"/>
    </row>
    <row r="576" spans="2:37" ht="36">
      <c r="B576" s="5"/>
      <c r="C576" s="5"/>
      <c r="D576" s="278"/>
      <c r="E576" s="278"/>
      <c r="F576" s="272"/>
      <c r="G576" s="94" t="s">
        <v>378</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f>650974.5+23611</f>
        <v>674585.5</v>
      </c>
      <c r="AK576" s="268"/>
    </row>
    <row r="577" spans="2:37" ht="36">
      <c r="B577" s="5"/>
      <c r="C577" s="5"/>
      <c r="D577" s="278"/>
      <c r="E577" s="278"/>
      <c r="F577" s="272"/>
      <c r="G577" s="94" t="s">
        <v>405</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11691+250000</f>
        <v>261691</v>
      </c>
      <c r="AK577" s="268"/>
    </row>
    <row r="578" spans="2:37" ht="36">
      <c r="B578" s="5"/>
      <c r="C578" s="5"/>
      <c r="D578" s="278"/>
      <c r="E578" s="278"/>
      <c r="F578" s="272"/>
      <c r="G578" s="94" t="s">
        <v>11</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f>75000+5742.95</f>
        <v>80742.95</v>
      </c>
      <c r="AK578" s="268"/>
    </row>
    <row r="579" spans="2:37" ht="34.5">
      <c r="B579" s="5"/>
      <c r="C579" s="5"/>
      <c r="D579" s="278"/>
      <c r="E579" s="278"/>
      <c r="F579" s="272"/>
      <c r="G579" s="95" t="s">
        <v>737</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c r="AK579" s="268"/>
    </row>
    <row r="580" spans="2:37" ht="54">
      <c r="B580" s="5"/>
      <c r="C580" s="5"/>
      <c r="D580" s="278"/>
      <c r="E580" s="278"/>
      <c r="F580" s="272"/>
      <c r="G580" s="94" t="s">
        <v>615</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c r="AK580" s="268"/>
    </row>
    <row r="581" spans="2:37" ht="36">
      <c r="B581" s="5"/>
      <c r="C581" s="5"/>
      <c r="D581" s="278"/>
      <c r="E581" s="278"/>
      <c r="F581" s="272"/>
      <c r="G581" s="94" t="s">
        <v>616</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c r="AK581" s="268"/>
    </row>
    <row r="582" spans="2:37" ht="36">
      <c r="B582" s="5"/>
      <c r="C582" s="5"/>
      <c r="D582" s="278"/>
      <c r="E582" s="278"/>
      <c r="F582" s="272"/>
      <c r="G582" s="94" t="s">
        <v>617</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c r="AK582" s="268"/>
    </row>
    <row r="583" spans="1:37" s="262" customFormat="1" ht="34.5">
      <c r="A583" s="7"/>
      <c r="B583" s="5"/>
      <c r="C583" s="5"/>
      <c r="D583" s="278"/>
      <c r="E583" s="278"/>
      <c r="F583" s="272"/>
      <c r="G583" s="95" t="s">
        <v>381</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c r="AK583" s="268"/>
    </row>
    <row r="584" spans="2:37" ht="72">
      <c r="B584" s="5"/>
      <c r="C584" s="5"/>
      <c r="D584" s="278"/>
      <c r="E584" s="278"/>
      <c r="F584" s="272"/>
      <c r="G584" s="94" t="s">
        <v>380</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c r="AK584" s="268"/>
    </row>
    <row r="585" spans="2:37" ht="34.5">
      <c r="B585" s="5"/>
      <c r="C585" s="5"/>
      <c r="D585" s="278"/>
      <c r="E585" s="278"/>
      <c r="F585" s="272"/>
      <c r="G585" s="95" t="s">
        <v>311</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2005951.81</v>
      </c>
      <c r="AK585" s="268"/>
    </row>
    <row r="586" spans="2:37" ht="36">
      <c r="B586" s="5"/>
      <c r="C586" s="5"/>
      <c r="D586" s="278"/>
      <c r="E586" s="278"/>
      <c r="F586" s="272"/>
      <c r="G586" s="94" t="s">
        <v>618</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c r="AK586" s="268"/>
    </row>
    <row r="587" spans="2:37" ht="18">
      <c r="B587" s="5"/>
      <c r="C587" s="5"/>
      <c r="D587" s="278"/>
      <c r="E587" s="278"/>
      <c r="F587" s="272"/>
      <c r="G587" s="94" t="s">
        <v>734</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c r="AK587" s="268"/>
    </row>
    <row r="588" spans="2:37" ht="36">
      <c r="B588" s="5"/>
      <c r="C588" s="5"/>
      <c r="D588" s="278"/>
      <c r="E588" s="278"/>
      <c r="F588" s="272"/>
      <c r="G588" s="94" t="s">
        <v>690</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c r="AK588" s="268"/>
    </row>
    <row r="589" spans="2:37" ht="36">
      <c r="B589" s="5"/>
      <c r="C589" s="5"/>
      <c r="D589" s="278"/>
      <c r="E589" s="278"/>
      <c r="F589" s="272"/>
      <c r="G589" s="94" t="s">
        <v>619</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f>
        <v>1732296.81</v>
      </c>
      <c r="AK589" s="268"/>
    </row>
    <row r="590" spans="2:37" ht="18" hidden="1">
      <c r="B590" s="5"/>
      <c r="C590" s="5"/>
      <c r="D590" s="277" t="s">
        <v>650</v>
      </c>
      <c r="E590" s="277" t="s">
        <v>276</v>
      </c>
      <c r="F590" s="271" t="s">
        <v>753</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c r="AK590" s="268"/>
    </row>
    <row r="591" spans="2:37" ht="18" hidden="1">
      <c r="B591" s="5"/>
      <c r="C591" s="5"/>
      <c r="D591" s="278"/>
      <c r="E591" s="278"/>
      <c r="F591" s="272"/>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c r="AK591" s="268"/>
    </row>
    <row r="592" spans="2:37" ht="18" hidden="1">
      <c r="B592" s="5"/>
      <c r="C592" s="5"/>
      <c r="D592" s="278"/>
      <c r="E592" s="278"/>
      <c r="F592" s="272"/>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c r="AK592" s="268"/>
    </row>
    <row r="593" spans="2:37" ht="18" hidden="1">
      <c r="B593" s="5"/>
      <c r="C593" s="5"/>
      <c r="D593" s="278"/>
      <c r="E593" s="278"/>
      <c r="F593" s="272"/>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c r="AK593" s="268"/>
    </row>
    <row r="594" spans="2:37" ht="18" hidden="1">
      <c r="B594" s="5"/>
      <c r="C594" s="5"/>
      <c r="D594" s="278"/>
      <c r="E594" s="278"/>
      <c r="F594" s="272"/>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c r="AK594" s="268"/>
    </row>
    <row r="595" spans="2:37" ht="18" hidden="1">
      <c r="B595" s="5"/>
      <c r="C595" s="5"/>
      <c r="D595" s="270"/>
      <c r="E595" s="270"/>
      <c r="F595" s="273"/>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c r="AK595" s="268"/>
    </row>
    <row r="596" spans="2:37" ht="18" hidden="1">
      <c r="B596" s="5"/>
      <c r="C596" s="5"/>
      <c r="D596" s="277" t="s">
        <v>754</v>
      </c>
      <c r="E596" s="277" t="s">
        <v>279</v>
      </c>
      <c r="F596" s="271" t="s">
        <v>278</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c r="AK596" s="268"/>
    </row>
    <row r="597" spans="2:37" ht="18" hidden="1">
      <c r="B597" s="5"/>
      <c r="C597" s="5"/>
      <c r="D597" s="278"/>
      <c r="E597" s="278"/>
      <c r="F597" s="272"/>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c r="AK597" s="268"/>
    </row>
    <row r="598" spans="2:37" ht="18" hidden="1">
      <c r="B598" s="5"/>
      <c r="C598" s="5"/>
      <c r="D598" s="278"/>
      <c r="E598" s="278"/>
      <c r="F598" s="272"/>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c r="AK598" s="268"/>
    </row>
    <row r="599" spans="2:37" ht="18" hidden="1">
      <c r="B599" s="5"/>
      <c r="C599" s="5"/>
      <c r="D599" s="278"/>
      <c r="E599" s="278"/>
      <c r="F599" s="272"/>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c r="AK599" s="268"/>
    </row>
    <row r="600" spans="2:37" ht="18" hidden="1">
      <c r="B600" s="5"/>
      <c r="C600" s="5"/>
      <c r="D600" s="278"/>
      <c r="E600" s="278"/>
      <c r="F600" s="272"/>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c r="AK600" s="268"/>
    </row>
    <row r="601" spans="2:37" ht="18" hidden="1">
      <c r="B601" s="5"/>
      <c r="C601" s="5"/>
      <c r="D601" s="270"/>
      <c r="E601" s="270"/>
      <c r="F601" s="273"/>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c r="AK601" s="268"/>
    </row>
    <row r="602" spans="2:37" ht="18" hidden="1">
      <c r="B602" s="5"/>
      <c r="C602" s="5"/>
      <c r="D602" s="277" t="s">
        <v>755</v>
      </c>
      <c r="E602" s="277" t="s">
        <v>277</v>
      </c>
      <c r="F602" s="271" t="s">
        <v>756</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c r="AK602" s="268"/>
    </row>
    <row r="603" spans="2:37" ht="18" hidden="1">
      <c r="B603" s="5"/>
      <c r="C603" s="5"/>
      <c r="D603" s="278"/>
      <c r="E603" s="278"/>
      <c r="F603" s="272"/>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c r="AK603" s="268"/>
    </row>
    <row r="604" spans="2:37" ht="18" hidden="1">
      <c r="B604" s="17"/>
      <c r="C604" s="17"/>
      <c r="D604" s="270"/>
      <c r="E604" s="270"/>
      <c r="F604" s="273"/>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c r="AK604" s="268"/>
    </row>
    <row r="605" spans="2:37" ht="18">
      <c r="B605" s="5"/>
      <c r="C605" s="5"/>
      <c r="D605" s="277" t="s">
        <v>352</v>
      </c>
      <c r="E605" s="277" t="s">
        <v>275</v>
      </c>
      <c r="F605" s="271" t="s">
        <v>312</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c r="AK605" s="268"/>
    </row>
    <row r="606" spans="2:37" ht="90">
      <c r="B606" s="5"/>
      <c r="C606" s="5"/>
      <c r="D606" s="278"/>
      <c r="E606" s="278"/>
      <c r="F606" s="272"/>
      <c r="G606" s="167" t="s">
        <v>620</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c r="AK606" s="268"/>
    </row>
    <row r="607" spans="2:37" ht="18" hidden="1">
      <c r="B607" s="5"/>
      <c r="C607" s="18"/>
      <c r="D607" s="288" t="s">
        <v>293</v>
      </c>
      <c r="E607" s="288" t="s">
        <v>684</v>
      </c>
      <c r="F607" s="289" t="s">
        <v>294</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c r="AK607" s="268"/>
    </row>
    <row r="608" spans="2:37" ht="18" hidden="1">
      <c r="B608" s="5"/>
      <c r="C608" s="18"/>
      <c r="D608" s="288"/>
      <c r="E608" s="288"/>
      <c r="F608" s="289"/>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c r="AK608" s="268"/>
    </row>
    <row r="609" spans="2:37" ht="0" customHeight="1" hidden="1">
      <c r="B609" s="5"/>
      <c r="C609" s="18"/>
      <c r="D609" s="288"/>
      <c r="E609" s="288"/>
      <c r="F609" s="289"/>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c r="AK609" s="268"/>
    </row>
    <row r="610" spans="2:37" ht="39" customHeight="1">
      <c r="B610" s="5"/>
      <c r="D610" s="102"/>
      <c r="E610" s="103"/>
      <c r="F610" s="77" t="s">
        <v>681</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26579946.270000003</v>
      </c>
      <c r="AK610" s="268"/>
    </row>
    <row r="611" spans="2:37" ht="18">
      <c r="B611" s="17"/>
      <c r="D611" s="277" t="s">
        <v>335</v>
      </c>
      <c r="E611" s="279" t="s">
        <v>317</v>
      </c>
      <c r="F611" s="271" t="s">
        <v>336</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c r="AK611" s="268"/>
    </row>
    <row r="612" spans="2:37" ht="36">
      <c r="B612" s="17"/>
      <c r="D612" s="278"/>
      <c r="E612" s="280"/>
      <c r="F612" s="272"/>
      <c r="G612" s="199" t="s">
        <v>621</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c r="AK612" s="268"/>
    </row>
    <row r="613" spans="2:37" ht="54">
      <c r="B613" s="17"/>
      <c r="D613" s="278"/>
      <c r="E613" s="280"/>
      <c r="F613" s="272"/>
      <c r="G613" s="94" t="s">
        <v>622</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c r="AK613" s="268"/>
    </row>
    <row r="614" spans="2:37" ht="36">
      <c r="B614" s="17"/>
      <c r="D614" s="270"/>
      <c r="E614" s="281"/>
      <c r="F614" s="273"/>
      <c r="G614" s="94" t="s">
        <v>271</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c r="AK614" s="268"/>
    </row>
    <row r="615" spans="2:37" ht="18" hidden="1">
      <c r="B615" s="5"/>
      <c r="C615" s="5"/>
      <c r="D615" s="274" t="s">
        <v>338</v>
      </c>
      <c r="E615" s="274" t="s">
        <v>320</v>
      </c>
      <c r="F615" s="271" t="s">
        <v>261</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c r="AK615" s="268"/>
    </row>
    <row r="616" spans="2:37" ht="18" hidden="1">
      <c r="B616" s="5"/>
      <c r="C616" s="5"/>
      <c r="D616" s="275"/>
      <c r="E616" s="275"/>
      <c r="F616" s="272"/>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c r="AK616" s="268"/>
    </row>
    <row r="617" spans="2:37" ht="18" hidden="1">
      <c r="B617" s="5"/>
      <c r="C617" s="5"/>
      <c r="D617" s="275"/>
      <c r="E617" s="275"/>
      <c r="F617" s="272"/>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c r="AK617" s="268"/>
    </row>
    <row r="618" spans="2:37" ht="18" hidden="1">
      <c r="B618" s="5"/>
      <c r="C618" s="5"/>
      <c r="D618" s="275"/>
      <c r="E618" s="275"/>
      <c r="F618" s="272"/>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c r="AK618" s="268"/>
    </row>
    <row r="619" spans="2:37" ht="18" hidden="1">
      <c r="B619" s="5"/>
      <c r="C619" s="5"/>
      <c r="D619" s="275"/>
      <c r="E619" s="275"/>
      <c r="F619" s="272"/>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c r="AK619" s="268"/>
    </row>
    <row r="620" spans="2:37" ht="18" hidden="1">
      <c r="B620" s="17"/>
      <c r="C620" s="17"/>
      <c r="D620" s="275"/>
      <c r="E620" s="275"/>
      <c r="F620" s="272"/>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c r="AK620" s="268"/>
    </row>
    <row r="621" spans="2:37" ht="18">
      <c r="B621" s="5"/>
      <c r="C621" s="5"/>
      <c r="D621" s="274" t="s">
        <v>339</v>
      </c>
      <c r="E621" s="274" t="s">
        <v>322</v>
      </c>
      <c r="F621" s="271" t="s">
        <v>321</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c r="AK621" s="268"/>
    </row>
    <row r="622" spans="2:37" ht="54">
      <c r="B622" s="5"/>
      <c r="C622" s="5"/>
      <c r="D622" s="275"/>
      <c r="E622" s="275"/>
      <c r="F622" s="272"/>
      <c r="G622" s="108" t="s">
        <v>17</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c r="AK622" s="268"/>
    </row>
    <row r="623" spans="2:37" ht="36">
      <c r="B623" s="5"/>
      <c r="C623" s="5"/>
      <c r="D623" s="275"/>
      <c r="E623" s="275"/>
      <c r="F623" s="272"/>
      <c r="G623" s="94" t="s">
        <v>18</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c r="AK623" s="268"/>
    </row>
    <row r="624" spans="2:37" ht="36">
      <c r="B624" s="5"/>
      <c r="C624" s="5"/>
      <c r="D624" s="275"/>
      <c r="E624" s="275"/>
      <c r="F624" s="272"/>
      <c r="G624" s="94" t="s">
        <v>19</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c r="AK624" s="268"/>
    </row>
    <row r="625" spans="2:37" ht="54">
      <c r="B625" s="5"/>
      <c r="C625" s="5"/>
      <c r="D625" s="275"/>
      <c r="E625" s="275"/>
      <c r="F625" s="272"/>
      <c r="G625" s="108" t="s">
        <v>20</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c r="AK625" s="268"/>
    </row>
    <row r="626" spans="2:37" ht="18" customHeight="1">
      <c r="B626" s="5"/>
      <c r="C626" s="5"/>
      <c r="D626" s="284" t="s">
        <v>340</v>
      </c>
      <c r="E626" s="284" t="s">
        <v>282</v>
      </c>
      <c r="F626" s="286" t="s">
        <v>568</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c r="AK626" s="268"/>
    </row>
    <row r="627" spans="2:37" ht="54">
      <c r="B627" s="5"/>
      <c r="C627" s="5"/>
      <c r="D627" s="285"/>
      <c r="E627" s="285"/>
      <c r="F627" s="287"/>
      <c r="G627" s="94" t="s">
        <v>434</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c r="AK627" s="268"/>
    </row>
    <row r="628" spans="2:37" ht="18" hidden="1">
      <c r="B628" s="17"/>
      <c r="C628" s="17"/>
      <c r="D628" s="277" t="s">
        <v>351</v>
      </c>
      <c r="E628" s="277" t="s">
        <v>270</v>
      </c>
      <c r="F628" s="271" t="s">
        <v>671</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c r="AK628" s="268"/>
    </row>
    <row r="629" spans="2:37" ht="18" hidden="1">
      <c r="B629" s="17"/>
      <c r="C629" s="17"/>
      <c r="D629" s="270"/>
      <c r="E629" s="270"/>
      <c r="F629" s="272"/>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c r="AK629" s="268"/>
    </row>
    <row r="630" spans="2:37" ht="18" hidden="1">
      <c r="B630" s="5"/>
      <c r="C630" s="5"/>
      <c r="D630" s="274" t="s">
        <v>269</v>
      </c>
      <c r="E630" s="274" t="s">
        <v>726</v>
      </c>
      <c r="F630" s="271" t="s">
        <v>272</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c r="AK630" s="268"/>
    </row>
    <row r="631" spans="2:37" ht="18" hidden="1">
      <c r="B631" s="5"/>
      <c r="C631" s="5"/>
      <c r="D631" s="275"/>
      <c r="E631" s="275"/>
      <c r="F631" s="272"/>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c r="AK631" s="268"/>
    </row>
    <row r="632" spans="2:37" ht="18" hidden="1">
      <c r="B632" s="5"/>
      <c r="C632" s="5"/>
      <c r="D632" s="275"/>
      <c r="E632" s="275"/>
      <c r="F632" s="272"/>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c r="AK632" s="268"/>
    </row>
    <row r="633" spans="2:37" ht="18" hidden="1">
      <c r="B633" s="5"/>
      <c r="C633" s="5"/>
      <c r="D633" s="275"/>
      <c r="E633" s="275"/>
      <c r="F633" s="272"/>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c r="AK633" s="268"/>
    </row>
    <row r="634" spans="2:37" ht="18" hidden="1">
      <c r="B634" s="17"/>
      <c r="C634" s="17"/>
      <c r="D634" s="276"/>
      <c r="E634" s="276"/>
      <c r="F634" s="273"/>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c r="AK634" s="268"/>
    </row>
    <row r="635" spans="2:37" ht="18" hidden="1">
      <c r="B635" s="5"/>
      <c r="C635" s="5"/>
      <c r="D635" s="274" t="s">
        <v>285</v>
      </c>
      <c r="E635" s="274" t="s">
        <v>287</v>
      </c>
      <c r="F635" s="271" t="s">
        <v>289</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c r="AK635" s="268"/>
    </row>
    <row r="636" spans="2:37" ht="18" hidden="1">
      <c r="B636" s="5"/>
      <c r="C636" s="5"/>
      <c r="D636" s="275"/>
      <c r="E636" s="275"/>
      <c r="F636" s="272"/>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c r="AK636" s="268"/>
    </row>
    <row r="637" spans="2:37" ht="18" hidden="1">
      <c r="B637" s="5"/>
      <c r="C637" s="5"/>
      <c r="D637" s="275"/>
      <c r="E637" s="275"/>
      <c r="F637" s="272"/>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c r="AK637" s="268"/>
    </row>
    <row r="638" spans="2:37" ht="18" hidden="1">
      <c r="B638" s="17"/>
      <c r="C638" s="17"/>
      <c r="D638" s="276"/>
      <c r="E638" s="276"/>
      <c r="F638" s="273"/>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c r="AK638" s="268"/>
    </row>
    <row r="639" spans="2:37" ht="18">
      <c r="B639" s="5"/>
      <c r="C639" s="5"/>
      <c r="D639" s="274" t="s">
        <v>314</v>
      </c>
      <c r="E639" s="274" t="s">
        <v>315</v>
      </c>
      <c r="F639" s="271" t="s">
        <v>291</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706777.62</v>
      </c>
      <c r="AD639" s="47">
        <f t="shared" si="82"/>
        <v>3055000</v>
      </c>
      <c r="AE639" s="47">
        <f t="shared" si="82"/>
        <v>700146</v>
      </c>
      <c r="AF639" s="47">
        <f t="shared" si="82"/>
        <v>428076.38</v>
      </c>
      <c r="AG639" s="47">
        <f t="shared" si="82"/>
        <v>340000</v>
      </c>
      <c r="AH639" s="47">
        <f t="shared" si="82"/>
        <v>457403.17</v>
      </c>
      <c r="AI639" s="47">
        <f t="shared" si="82"/>
        <v>309275.94</v>
      </c>
      <c r="AK639" s="268"/>
    </row>
    <row r="640" spans="2:37" ht="66" customHeight="1">
      <c r="B640" s="17"/>
      <c r="C640" s="17"/>
      <c r="D640" s="275"/>
      <c r="E640" s="275"/>
      <c r="F640" s="272"/>
      <c r="G640" s="141" t="s">
        <v>21</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c r="AK640" s="268"/>
    </row>
    <row r="641" spans="1:37" s="39" customFormat="1" ht="36">
      <c r="A641" s="2"/>
      <c r="B641" s="17"/>
      <c r="C641" s="17"/>
      <c r="D641" s="275"/>
      <c r="E641" s="275"/>
      <c r="F641" s="272"/>
      <c r="G641" s="141" t="s">
        <v>22</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c r="AK641" s="268"/>
    </row>
    <row r="642" spans="1:37" s="39" customFormat="1" ht="54">
      <c r="A642" s="40"/>
      <c r="B642" s="17"/>
      <c r="C642" s="17"/>
      <c r="D642" s="275"/>
      <c r="E642" s="275"/>
      <c r="F642" s="272"/>
      <c r="G642" s="141" t="s">
        <v>23</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c r="AK642" s="268"/>
    </row>
    <row r="643" spans="1:37" s="39" customFormat="1" ht="72">
      <c r="A643" s="40"/>
      <c r="B643" s="17"/>
      <c r="C643" s="17"/>
      <c r="D643" s="275"/>
      <c r="E643" s="275"/>
      <c r="F643" s="272"/>
      <c r="G643" s="141" t="s">
        <v>24</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c r="AK643" s="268"/>
    </row>
    <row r="644" spans="1:37" s="39" customFormat="1" ht="54">
      <c r="A644" s="40"/>
      <c r="B644" s="17"/>
      <c r="C644" s="17"/>
      <c r="D644" s="275"/>
      <c r="E644" s="275"/>
      <c r="F644" s="272"/>
      <c r="G644" s="141" t="s">
        <v>14</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f>28966.5</f>
        <v>28966.5</v>
      </c>
      <c r="AK644" s="268"/>
    </row>
    <row r="645" spans="1:37" s="39" customFormat="1" ht="54">
      <c r="A645" s="40"/>
      <c r="B645" s="17"/>
      <c r="C645" s="17"/>
      <c r="D645" s="275"/>
      <c r="E645" s="275"/>
      <c r="F645" s="272"/>
      <c r="G645" s="94" t="s">
        <v>25</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c r="AK645" s="268"/>
    </row>
    <row r="646" spans="1:37" s="39" customFormat="1" ht="54">
      <c r="A646" s="40"/>
      <c r="B646" s="17"/>
      <c r="C646" s="17"/>
      <c r="D646" s="275"/>
      <c r="E646" s="275"/>
      <c r="F646" s="272"/>
      <c r="G646" s="94" t="s">
        <v>459</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c r="AK646" s="268"/>
    </row>
    <row r="647" spans="1:37" s="39" customFormat="1" ht="54">
      <c r="A647" s="40"/>
      <c r="B647" s="17"/>
      <c r="C647" s="17"/>
      <c r="D647" s="275"/>
      <c r="E647" s="275"/>
      <c r="F647" s="272"/>
      <c r="G647" s="94" t="s">
        <v>460</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c r="AK647" s="268"/>
    </row>
    <row r="648" spans="1:37" s="39" customFormat="1" ht="36">
      <c r="A648" s="40"/>
      <c r="B648" s="17"/>
      <c r="C648" s="17"/>
      <c r="D648" s="275"/>
      <c r="E648" s="275"/>
      <c r="F648" s="272"/>
      <c r="G648" s="141" t="s">
        <v>461</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c r="AK648" s="268"/>
    </row>
    <row r="649" spans="1:37" s="39" customFormat="1" ht="126">
      <c r="A649" s="40"/>
      <c r="B649" s="17"/>
      <c r="C649" s="17"/>
      <c r="D649" s="275"/>
      <c r="E649" s="275"/>
      <c r="F649" s="272"/>
      <c r="G649" s="141" t="s">
        <v>462</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c r="AK649" s="268"/>
    </row>
    <row r="650" spans="1:37" s="39" customFormat="1" ht="36">
      <c r="A650" s="40"/>
      <c r="B650" s="17"/>
      <c r="C650" s="17"/>
      <c r="D650" s="275"/>
      <c r="E650" s="275"/>
      <c r="F650" s="272"/>
      <c r="G650" s="141" t="s">
        <v>463</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c r="AK650" s="268"/>
    </row>
    <row r="651" spans="1:37" s="39" customFormat="1" ht="36">
      <c r="A651" s="40"/>
      <c r="B651" s="17"/>
      <c r="C651" s="17"/>
      <c r="D651" s="275"/>
      <c r="E651" s="275"/>
      <c r="F651" s="272"/>
      <c r="G651" s="141" t="s">
        <v>445</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c r="AK651" s="268"/>
    </row>
    <row r="652" spans="1:37" s="39" customFormat="1" ht="36">
      <c r="A652" s="40"/>
      <c r="B652" s="17"/>
      <c r="C652" s="17"/>
      <c r="D652" s="275"/>
      <c r="E652" s="275"/>
      <c r="F652" s="272"/>
      <c r="G652" s="141" t="s">
        <v>446</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c r="AK652" s="268"/>
    </row>
    <row r="653" spans="1:37" s="39" customFormat="1" ht="54">
      <c r="A653" s="40"/>
      <c r="B653" s="17"/>
      <c r="C653" s="17"/>
      <c r="D653" s="275"/>
      <c r="E653" s="275"/>
      <c r="F653" s="272"/>
      <c r="G653" s="141" t="s">
        <v>447</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v>29854</v>
      </c>
      <c r="AD653" s="42">
        <f>60000</f>
        <v>60000</v>
      </c>
      <c r="AE653" s="42">
        <f>140000-29854</f>
        <v>110146</v>
      </c>
      <c r="AF653" s="42"/>
      <c r="AG653" s="42"/>
      <c r="AH653" s="42"/>
      <c r="AI653" s="42"/>
      <c r="AK653" s="268"/>
    </row>
    <row r="654" spans="1:37" s="39" customFormat="1" ht="72">
      <c r="A654" s="40"/>
      <c r="B654" s="17"/>
      <c r="C654" s="17"/>
      <c r="D654" s="275"/>
      <c r="E654" s="275"/>
      <c r="F654" s="272"/>
      <c r="G654" s="108" t="s">
        <v>448</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c r="AK654" s="268"/>
    </row>
    <row r="655" spans="1:37" s="39" customFormat="1" ht="54">
      <c r="A655" s="40"/>
      <c r="B655" s="17"/>
      <c r="C655" s="17"/>
      <c r="D655" s="275"/>
      <c r="E655" s="275"/>
      <c r="F655" s="272"/>
      <c r="G655" s="108" t="s">
        <v>449</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c r="AK655" s="268"/>
    </row>
    <row r="656" spans="2:37" ht="53.25" customHeight="1">
      <c r="B656" s="17"/>
      <c r="C656" s="17"/>
      <c r="D656" s="275"/>
      <c r="E656" s="275"/>
      <c r="F656" s="272"/>
      <c r="G656" s="94" t="s">
        <v>450</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f>117952.48</f>
        <v>117952.48</v>
      </c>
      <c r="AK656" s="268"/>
    </row>
    <row r="657" spans="2:37" ht="72">
      <c r="B657" s="5"/>
      <c r="C657" s="5"/>
      <c r="D657" s="275"/>
      <c r="E657" s="275"/>
      <c r="F657" s="272"/>
      <c r="G657" s="141" t="s">
        <v>451</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c r="AK657" s="268"/>
    </row>
    <row r="658" spans="2:37" ht="36">
      <c r="B658" s="5"/>
      <c r="C658" s="5"/>
      <c r="D658" s="275"/>
      <c r="E658" s="275"/>
      <c r="F658" s="272"/>
      <c r="G658" s="141" t="s">
        <v>452</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v>200000</v>
      </c>
      <c r="AD658" s="42">
        <f>500000-8600-200000</f>
        <v>291400</v>
      </c>
      <c r="AE658" s="42"/>
      <c r="AF658" s="42"/>
      <c r="AG658" s="42"/>
      <c r="AH658" s="42">
        <v>118.86</v>
      </c>
      <c r="AI658" s="42">
        <f>8481.14+13419</f>
        <v>21900.14</v>
      </c>
      <c r="AK658" s="268"/>
    </row>
    <row r="659" spans="2:37" ht="18">
      <c r="B659" s="5"/>
      <c r="C659" s="5"/>
      <c r="D659" s="274" t="s">
        <v>343</v>
      </c>
      <c r="E659" s="274" t="s">
        <v>322</v>
      </c>
      <c r="F659" s="271" t="s">
        <v>292</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c r="AK659" s="268"/>
    </row>
    <row r="660" spans="2:37" ht="72">
      <c r="B660" s="5"/>
      <c r="C660" s="5"/>
      <c r="D660" s="275"/>
      <c r="E660" s="275"/>
      <c r="F660" s="272"/>
      <c r="G660" s="108" t="s">
        <v>453</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c r="AK660" s="268"/>
    </row>
    <row r="661" spans="2:37" ht="90">
      <c r="B661" s="5"/>
      <c r="C661" s="5"/>
      <c r="D661" s="275"/>
      <c r="E661" s="275"/>
      <c r="F661" s="272"/>
      <c r="G661" s="214" t="s">
        <v>464</v>
      </c>
      <c r="H661" s="211"/>
      <c r="I661" s="123"/>
      <c r="J661" s="212"/>
      <c r="K661" s="128"/>
      <c r="L661" s="128"/>
      <c r="M661" s="128"/>
      <c r="N661" s="91">
        <v>3210</v>
      </c>
      <c r="O661" s="213"/>
      <c r="P661" s="213"/>
      <c r="Q661" s="53">
        <v>200000</v>
      </c>
      <c r="R661" s="53" t="s">
        <v>600</v>
      </c>
      <c r="S661" s="53"/>
      <c r="T661" s="53"/>
      <c r="U661" s="53"/>
      <c r="V661" s="53">
        <v>200000</v>
      </c>
      <c r="W661" s="42"/>
      <c r="X661" s="42"/>
      <c r="Y661" s="42"/>
      <c r="Z661" s="42"/>
      <c r="AA661" s="42">
        <v>60000</v>
      </c>
      <c r="AB661" s="42">
        <v>140000</v>
      </c>
      <c r="AC661" s="42"/>
      <c r="AD661" s="42"/>
      <c r="AE661" s="42"/>
      <c r="AF661" s="42"/>
      <c r="AG661" s="42"/>
      <c r="AH661" s="42"/>
      <c r="AI661" s="42"/>
      <c r="AK661" s="268"/>
    </row>
    <row r="662" spans="2:37" ht="18">
      <c r="B662" s="5"/>
      <c r="C662" s="5"/>
      <c r="D662" s="274" t="s">
        <v>454</v>
      </c>
      <c r="E662" s="277" t="s">
        <v>455</v>
      </c>
      <c r="F662" s="271" t="s">
        <v>456</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92047.2</v>
      </c>
      <c r="AK662" s="268"/>
    </row>
    <row r="663" spans="2:37" ht="36">
      <c r="B663" s="5"/>
      <c r="C663" s="5"/>
      <c r="D663" s="276"/>
      <c r="E663" s="270"/>
      <c r="F663" s="273"/>
      <c r="G663" s="94" t="s">
        <v>457</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f>30000+62047.2</f>
        <v>92047.2</v>
      </c>
      <c r="AK663" s="268"/>
    </row>
    <row r="664" spans="2:37" ht="18">
      <c r="B664" s="5"/>
      <c r="C664" s="5"/>
      <c r="D664" s="274" t="s">
        <v>679</v>
      </c>
      <c r="E664" s="274" t="s">
        <v>188</v>
      </c>
      <c r="F664" s="271" t="s">
        <v>217</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10444146</v>
      </c>
      <c r="AD664" s="47">
        <f t="shared" si="85"/>
        <v>9585470.26</v>
      </c>
      <c r="AE664" s="47">
        <f t="shared" si="85"/>
        <v>2904282.61</v>
      </c>
      <c r="AF664" s="47">
        <f t="shared" si="85"/>
        <v>8489445.91</v>
      </c>
      <c r="AG664" s="47">
        <f t="shared" si="85"/>
        <v>12335125.219999999</v>
      </c>
      <c r="AH664" s="47">
        <f t="shared" si="85"/>
        <v>3564115.83</v>
      </c>
      <c r="AI664" s="47">
        <f t="shared" si="85"/>
        <v>25987812.380000003</v>
      </c>
      <c r="AK664" s="268"/>
    </row>
    <row r="665" spans="2:37" ht="63" customHeight="1">
      <c r="B665" s="17"/>
      <c r="C665" s="17"/>
      <c r="D665" s="275"/>
      <c r="E665" s="275"/>
      <c r="F665" s="272"/>
      <c r="G665" s="94" t="s">
        <v>326</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v>86000</v>
      </c>
      <c r="AD665" s="42"/>
      <c r="AE665" s="42"/>
      <c r="AF665" s="42"/>
      <c r="AG665" s="42"/>
      <c r="AH665" s="42">
        <f>360739.65-86000</f>
        <v>274739.65</v>
      </c>
      <c r="AI665" s="42">
        <f>81260+1427.14+45242+45091.14+234240.07+85847.68</f>
        <v>493108.02999999997</v>
      </c>
      <c r="AK665" s="268"/>
    </row>
    <row r="666" spans="2:37" ht="54">
      <c r="B666" s="17"/>
      <c r="C666" s="17"/>
      <c r="D666" s="275"/>
      <c r="E666" s="275"/>
      <c r="F666" s="272"/>
      <c r="G666" s="146" t="s">
        <v>759</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c r="AK666" s="268"/>
    </row>
    <row r="667" spans="2:37" ht="54">
      <c r="B667" s="17"/>
      <c r="C667" s="17"/>
      <c r="D667" s="275"/>
      <c r="E667" s="275"/>
      <c r="F667" s="272"/>
      <c r="G667" s="146" t="s">
        <v>760</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c r="AK667" s="268"/>
    </row>
    <row r="668" spans="2:37" ht="72">
      <c r="B668" s="17"/>
      <c r="C668" s="17"/>
      <c r="D668" s="275"/>
      <c r="E668" s="275"/>
      <c r="F668" s="272"/>
      <c r="G668" s="146" t="s">
        <v>553</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c r="AK668" s="268"/>
    </row>
    <row r="669" spans="2:37" ht="54">
      <c r="B669" s="17"/>
      <c r="C669" s="17"/>
      <c r="D669" s="275"/>
      <c r="E669" s="275"/>
      <c r="F669" s="272"/>
      <c r="G669" s="146" t="s">
        <v>585</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c r="AK669" s="268"/>
    </row>
    <row r="670" spans="2:37" ht="54">
      <c r="B670" s="17"/>
      <c r="C670" s="17"/>
      <c r="D670" s="275"/>
      <c r="E670" s="275"/>
      <c r="F670" s="272"/>
      <c r="G670" s="146" t="s">
        <v>586</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v>387000</v>
      </c>
      <c r="AD670" s="42">
        <v>290103.26</v>
      </c>
      <c r="AE670" s="42">
        <v>15002.85</v>
      </c>
      <c r="AF670" s="42">
        <f>514893.89-387000</f>
        <v>127893.89000000001</v>
      </c>
      <c r="AG670" s="42"/>
      <c r="AH670" s="42">
        <v>30000</v>
      </c>
      <c r="AI670" s="42">
        <f>352611+34004.55</f>
        <v>386615.55</v>
      </c>
      <c r="AK670" s="268"/>
    </row>
    <row r="671" spans="2:37" ht="54">
      <c r="B671" s="17"/>
      <c r="C671" s="17"/>
      <c r="D671" s="275"/>
      <c r="E671" s="275"/>
      <c r="F671" s="272"/>
      <c r="G671" s="146" t="s">
        <v>587</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c r="AK671" s="268"/>
    </row>
    <row r="672" spans="2:37" ht="72">
      <c r="B672" s="17"/>
      <c r="C672" s="17"/>
      <c r="D672" s="275"/>
      <c r="E672" s="275"/>
      <c r="F672" s="272"/>
      <c r="G672" s="146" t="s">
        <v>708</v>
      </c>
      <c r="H672" s="215"/>
      <c r="I672" s="92"/>
      <c r="J672" s="210"/>
      <c r="K672" s="53"/>
      <c r="L672" s="53"/>
      <c r="M672" s="42"/>
      <c r="N672" s="91">
        <v>3132</v>
      </c>
      <c r="O672" s="53"/>
      <c r="P672" s="210"/>
      <c r="Q672" s="42">
        <v>850000</v>
      </c>
      <c r="R672" s="42"/>
      <c r="S672" s="257" t="s">
        <v>709</v>
      </c>
      <c r="T672" s="257"/>
      <c r="U672" s="42"/>
      <c r="V672" s="42">
        <f>850000+330000</f>
        <v>1180000</v>
      </c>
      <c r="W672" s="42"/>
      <c r="X672" s="42"/>
      <c r="Y672" s="42"/>
      <c r="Z672" s="42"/>
      <c r="AA672" s="42">
        <f>30000</f>
        <v>30000</v>
      </c>
      <c r="AB672" s="42">
        <v>700000</v>
      </c>
      <c r="AC672" s="42">
        <v>450000</v>
      </c>
      <c r="AD672" s="42">
        <f>300000-200000-100000</f>
        <v>0</v>
      </c>
      <c r="AE672" s="42">
        <f>300000-300000</f>
        <v>0</v>
      </c>
      <c r="AF672" s="42">
        <f>520000-500000-20000</f>
        <v>0</v>
      </c>
      <c r="AG672" s="42"/>
      <c r="AH672" s="42">
        <f>30000-30000</f>
        <v>0</v>
      </c>
      <c r="AI672" s="42">
        <f>553277.5+572421.29</f>
        <v>1125698.79</v>
      </c>
      <c r="AK672" s="268"/>
    </row>
    <row r="673" spans="2:37" ht="72" hidden="1">
      <c r="B673" s="17"/>
      <c r="C673" s="17"/>
      <c r="D673" s="275"/>
      <c r="E673" s="275"/>
      <c r="F673" s="272"/>
      <c r="G673" s="146" t="s">
        <v>588</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c r="AK673" s="268"/>
    </row>
    <row r="674" spans="2:37" ht="72">
      <c r="B674" s="17"/>
      <c r="C674" s="17"/>
      <c r="D674" s="275"/>
      <c r="E674" s="275"/>
      <c r="F674" s="272"/>
      <c r="G674" s="146" t="s">
        <v>589</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c r="AK674" s="268"/>
    </row>
    <row r="675" spans="2:37" ht="54">
      <c r="B675" s="17"/>
      <c r="C675" s="17"/>
      <c r="D675" s="275"/>
      <c r="E675" s="275"/>
      <c r="F675" s="272"/>
      <c r="G675" s="146" t="s">
        <v>590</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c r="AK675" s="268"/>
    </row>
    <row r="676" spans="2:37" ht="54">
      <c r="B676" s="17"/>
      <c r="C676" s="17"/>
      <c r="D676" s="275"/>
      <c r="E676" s="275"/>
      <c r="F676" s="272"/>
      <c r="G676" s="146" t="s">
        <v>591</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c r="AK676" s="268"/>
    </row>
    <row r="677" spans="2:37" ht="54">
      <c r="B677" s="17"/>
      <c r="C677" s="17"/>
      <c r="D677" s="275"/>
      <c r="E677" s="275"/>
      <c r="F677" s="272"/>
      <c r="G677" s="146" t="s">
        <v>176</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f>150000</f>
        <v>150000</v>
      </c>
      <c r="AK677" s="268"/>
    </row>
    <row r="678" spans="2:37" ht="54">
      <c r="B678" s="17"/>
      <c r="C678" s="17"/>
      <c r="D678" s="275"/>
      <c r="E678" s="275"/>
      <c r="F678" s="272"/>
      <c r="G678" s="146" t="s">
        <v>177</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c r="AK678" s="268"/>
    </row>
    <row r="679" spans="2:37" ht="36">
      <c r="B679" s="17"/>
      <c r="C679" s="17"/>
      <c r="D679" s="275"/>
      <c r="E679" s="275"/>
      <c r="F679" s="272"/>
      <c r="G679" s="94" t="s">
        <v>592</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c r="AK679" s="268"/>
    </row>
    <row r="680" spans="2:37" ht="72">
      <c r="B680" s="17"/>
      <c r="C680" s="17"/>
      <c r="D680" s="275"/>
      <c r="E680" s="275"/>
      <c r="F680" s="272"/>
      <c r="G680" s="146" t="s">
        <v>593</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c r="AK680" s="268"/>
    </row>
    <row r="681" spans="2:37" ht="54" hidden="1">
      <c r="B681" s="17"/>
      <c r="C681" s="17"/>
      <c r="D681" s="275"/>
      <c r="E681" s="275"/>
      <c r="F681" s="272"/>
      <c r="G681" s="94" t="s">
        <v>594</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c r="AK681" s="268"/>
    </row>
    <row r="682" spans="2:37" ht="54">
      <c r="B682" s="17"/>
      <c r="C682" s="17"/>
      <c r="D682" s="275"/>
      <c r="E682" s="275"/>
      <c r="F682" s="272"/>
      <c r="G682" s="94" t="s">
        <v>242</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c r="AK682" s="268"/>
    </row>
    <row r="683" spans="2:37" ht="54">
      <c r="B683" s="17"/>
      <c r="C683" s="17"/>
      <c r="D683" s="275"/>
      <c r="E683" s="275"/>
      <c r="F683" s="272"/>
      <c r="G683" s="94" t="s">
        <v>785</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c r="AK683" s="268"/>
    </row>
    <row r="684" spans="2:37" ht="36">
      <c r="B684" s="17"/>
      <c r="C684" s="17"/>
      <c r="D684" s="275"/>
      <c r="E684" s="275"/>
      <c r="F684" s="272"/>
      <c r="G684" s="94" t="s">
        <v>243</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65000-60000+70000</f>
        <v>75000</v>
      </c>
      <c r="AD684" s="42">
        <v>65000</v>
      </c>
      <c r="AE684" s="42">
        <f>70000-70000</f>
        <v>0</v>
      </c>
      <c r="AF684" s="42"/>
      <c r="AG684" s="42"/>
      <c r="AH684" s="42"/>
      <c r="AI684" s="42">
        <f>60000</f>
        <v>60000</v>
      </c>
      <c r="AK684" s="268"/>
    </row>
    <row r="685" spans="2:37" ht="36">
      <c r="B685" s="17"/>
      <c r="C685" s="17"/>
      <c r="D685" s="275"/>
      <c r="E685" s="275"/>
      <c r="F685" s="272"/>
      <c r="G685" s="94" t="s">
        <v>244</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v>60000</v>
      </c>
      <c r="AD685" s="42"/>
      <c r="AE685" s="42"/>
      <c r="AF685" s="42"/>
      <c r="AG685" s="42"/>
      <c r="AH685" s="42">
        <f>60000-60000</f>
        <v>0</v>
      </c>
      <c r="AI685" s="42"/>
      <c r="AK685" s="268"/>
    </row>
    <row r="686" spans="2:37" ht="54">
      <c r="B686" s="17"/>
      <c r="C686" s="17"/>
      <c r="D686" s="275"/>
      <c r="E686" s="275"/>
      <c r="F686" s="272"/>
      <c r="G686" s="94" t="s">
        <v>245</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v>300000</v>
      </c>
      <c r="AD686" s="42"/>
      <c r="AE686" s="42"/>
      <c r="AF686" s="42"/>
      <c r="AG686" s="42"/>
      <c r="AH686" s="42">
        <f>300000-300000</f>
        <v>0</v>
      </c>
      <c r="AI686" s="42">
        <f>300000</f>
        <v>300000</v>
      </c>
      <c r="AK686" s="268"/>
    </row>
    <row r="687" spans="2:37" ht="36">
      <c r="B687" s="17"/>
      <c r="C687" s="17"/>
      <c r="D687" s="275"/>
      <c r="E687" s="275"/>
      <c r="F687" s="272"/>
      <c r="G687" s="94" t="s">
        <v>246</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f>60000+185000</f>
        <v>245000</v>
      </c>
      <c r="AD687" s="42">
        <f>135000-135000</f>
        <v>0</v>
      </c>
      <c r="AE687" s="42"/>
      <c r="AF687" s="42"/>
      <c r="AG687" s="42"/>
      <c r="AH687" s="42">
        <f>50000-50000</f>
        <v>0</v>
      </c>
      <c r="AI687" s="42">
        <v>105000</v>
      </c>
      <c r="AK687" s="268"/>
    </row>
    <row r="688" spans="2:37" ht="36">
      <c r="B688" s="17"/>
      <c r="C688" s="17"/>
      <c r="D688" s="275"/>
      <c r="E688" s="275"/>
      <c r="F688" s="272"/>
      <c r="G688" s="146" t="s">
        <v>554</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f>30000+30000</f>
        <v>60000</v>
      </c>
      <c r="AD688" s="42">
        <f>21967+30000</f>
        <v>51967</v>
      </c>
      <c r="AE688" s="42">
        <v>40000</v>
      </c>
      <c r="AF688" s="42"/>
      <c r="AG688" s="42"/>
      <c r="AH688" s="42">
        <f>78033-30000</f>
        <v>48033</v>
      </c>
      <c r="AI688" s="42"/>
      <c r="AK688" s="268"/>
    </row>
    <row r="689" spans="2:37" ht="36">
      <c r="B689" s="17"/>
      <c r="C689" s="17"/>
      <c r="D689" s="275"/>
      <c r="E689" s="275"/>
      <c r="F689" s="272"/>
      <c r="G689" s="146" t="s">
        <v>555</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c r="AK689" s="268"/>
    </row>
    <row r="690" spans="2:37" ht="54">
      <c r="B690" s="17"/>
      <c r="C690" s="17"/>
      <c r="D690" s="275"/>
      <c r="E690" s="275"/>
      <c r="F690" s="272"/>
      <c r="G690" s="146" t="s">
        <v>556</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c r="AK690" s="268"/>
    </row>
    <row r="691" spans="2:37" ht="36">
      <c r="B691" s="17"/>
      <c r="C691" s="17"/>
      <c r="D691" s="275"/>
      <c r="E691" s="275"/>
      <c r="F691" s="272"/>
      <c r="G691" s="146" t="s">
        <v>13</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c r="AK691" s="268"/>
    </row>
    <row r="692" spans="2:37" ht="54">
      <c r="B692" s="17"/>
      <c r="C692" s="17"/>
      <c r="D692" s="275"/>
      <c r="E692" s="275"/>
      <c r="F692" s="272"/>
      <c r="G692" s="146" t="s">
        <v>557</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c r="AK692" s="268"/>
    </row>
    <row r="693" spans="2:37" ht="54">
      <c r="B693" s="17"/>
      <c r="C693" s="17"/>
      <c r="D693" s="275"/>
      <c r="E693" s="275"/>
      <c r="F693" s="272"/>
      <c r="G693" s="94" t="s">
        <v>558</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f>6000000+100000</f>
        <v>6100000</v>
      </c>
      <c r="AD693" s="42"/>
      <c r="AE693" s="42"/>
      <c r="AF693" s="42">
        <f>2000000-100000</f>
        <v>1900000</v>
      </c>
      <c r="AG693" s="42">
        <v>4375000</v>
      </c>
      <c r="AH693" s="42">
        <v>118817.95</v>
      </c>
      <c r="AI693" s="42">
        <f>6182.05+6000000</f>
        <v>6006182.05</v>
      </c>
      <c r="AK693" s="268"/>
    </row>
    <row r="694" spans="2:37" ht="36">
      <c r="B694" s="17"/>
      <c r="C694" s="17"/>
      <c r="D694" s="275"/>
      <c r="E694" s="275"/>
      <c r="F694" s="272"/>
      <c r="G694" s="94" t="s">
        <v>658</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f>1525000-100000-170000-838191</f>
        <v>416809</v>
      </c>
      <c r="AC694" s="42"/>
      <c r="AD694" s="42"/>
      <c r="AE694" s="42">
        <f>100000+170000+150850</f>
        <v>420850</v>
      </c>
      <c r="AF694" s="42"/>
      <c r="AG694" s="42">
        <v>687341</v>
      </c>
      <c r="AH694" s="42"/>
      <c r="AI694" s="42">
        <f>22689.24+253244.1+29437.7+941917.2+15430.54+158281.2+54884.4+2515.78+901.08</f>
        <v>1479301.24</v>
      </c>
      <c r="AK694" s="268"/>
    </row>
    <row r="695" spans="2:37" ht="36">
      <c r="B695" s="17"/>
      <c r="C695" s="17"/>
      <c r="D695" s="275"/>
      <c r="E695" s="275"/>
      <c r="F695" s="272"/>
      <c r="G695" s="94" t="s">
        <v>628</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3315950+2000000-3315950+100000+838191</f>
        <v>2938191</v>
      </c>
      <c r="AC695" s="42"/>
      <c r="AD695" s="42"/>
      <c r="AE695" s="42">
        <f>1000000-749150-100000-150850</f>
        <v>0</v>
      </c>
      <c r="AF695" s="42">
        <f>1000000-1000000</f>
        <v>0</v>
      </c>
      <c r="AG695" s="42">
        <f>1325950+1000000-1000000-550500-88109-687341</f>
        <v>0</v>
      </c>
      <c r="AH695" s="42">
        <f>500000-500000</f>
        <v>0</v>
      </c>
      <c r="AI695" s="42">
        <f>1453283.2+635176.8+818106.4</f>
        <v>2906566.4</v>
      </c>
      <c r="AK695" s="268"/>
    </row>
    <row r="696" spans="2:37" ht="39.75" customHeight="1">
      <c r="B696" s="17"/>
      <c r="C696" s="17"/>
      <c r="D696" s="275"/>
      <c r="E696" s="275"/>
      <c r="F696" s="272"/>
      <c r="G696" s="94" t="s">
        <v>327</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c r="AK696" s="268"/>
    </row>
    <row r="697" spans="2:37" ht="37.5" customHeight="1">
      <c r="B697" s="17"/>
      <c r="C697" s="17"/>
      <c r="D697" s="275"/>
      <c r="E697" s="275"/>
      <c r="F697" s="272"/>
      <c r="G697" s="94" t="s">
        <v>559</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f>40071.36+84500</f>
        <v>124571.36</v>
      </c>
      <c r="AK697" s="268"/>
    </row>
    <row r="698" spans="2:37" ht="37.5" customHeight="1">
      <c r="B698" s="17"/>
      <c r="C698" s="17"/>
      <c r="D698" s="275"/>
      <c r="E698" s="275"/>
      <c r="F698" s="272"/>
      <c r="G698" s="94" t="s">
        <v>175</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c r="AK698" s="268"/>
    </row>
    <row r="699" spans="2:37" ht="54" customHeight="1">
      <c r="B699" s="17"/>
      <c r="C699" s="17"/>
      <c r="D699" s="275"/>
      <c r="E699" s="275"/>
      <c r="F699" s="272"/>
      <c r="G699" s="94" t="s">
        <v>328</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c r="AK699" s="268"/>
    </row>
    <row r="700" spans="2:37" ht="54" customHeight="1">
      <c r="B700" s="17"/>
      <c r="C700" s="17"/>
      <c r="D700" s="275"/>
      <c r="E700" s="275"/>
      <c r="F700" s="272"/>
      <c r="G700" s="94" t="s">
        <v>561</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f>1400000</f>
        <v>1400000</v>
      </c>
      <c r="AK700" s="268"/>
    </row>
    <row r="701" spans="2:37" ht="60" customHeight="1">
      <c r="B701" s="17"/>
      <c r="C701" s="17"/>
      <c r="D701" s="275"/>
      <c r="E701" s="275"/>
      <c r="F701" s="272"/>
      <c r="G701" s="94" t="s">
        <v>741</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600000-65000-181682.15</f>
        <v>353317.85</v>
      </c>
      <c r="AD701" s="42"/>
      <c r="AE701" s="42"/>
      <c r="AF701" s="42"/>
      <c r="AG701" s="42"/>
      <c r="AH701" s="42">
        <f>28017.71+181682.15</f>
        <v>209699.86</v>
      </c>
      <c r="AI701" s="42">
        <f>286305.66+72060+594.73+601021.9+5516.59+658722</f>
        <v>1624220.88</v>
      </c>
      <c r="AK701" s="268"/>
    </row>
    <row r="702" spans="2:37" ht="60" customHeight="1">
      <c r="B702" s="17"/>
      <c r="C702" s="17"/>
      <c r="D702" s="275"/>
      <c r="E702" s="275"/>
      <c r="F702" s="272"/>
      <c r="G702" s="94" t="s">
        <v>742</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v>181682.15</v>
      </c>
      <c r="AD702" s="42"/>
      <c r="AE702" s="42"/>
      <c r="AF702" s="42"/>
      <c r="AG702" s="42"/>
      <c r="AH702" s="42">
        <f>181682.15-181682.15</f>
        <v>0</v>
      </c>
      <c r="AI702" s="42">
        <v>72317.85</v>
      </c>
      <c r="AK702" s="268"/>
    </row>
    <row r="703" spans="2:37" ht="72">
      <c r="B703" s="17"/>
      <c r="C703" s="17"/>
      <c r="D703" s="275"/>
      <c r="E703" s="275"/>
      <c r="F703" s="272"/>
      <c r="G703" s="94" t="s">
        <v>562</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1547800+940000-2487800+170000</f>
        <v>170000</v>
      </c>
      <c r="AC703" s="42"/>
      <c r="AD703" s="42"/>
      <c r="AE703" s="42">
        <f>1731585.76-912200-170000</f>
        <v>649385.76</v>
      </c>
      <c r="AF703" s="42">
        <v>3000000</v>
      </c>
      <c r="AG703" s="42">
        <v>3741261.78</v>
      </c>
      <c r="AH703" s="42">
        <f>3421352.46-3000000</f>
        <v>421352.45999999996</v>
      </c>
      <c r="AI703" s="42">
        <f>13429+7850000+306023.62</f>
        <v>8169452.62</v>
      </c>
      <c r="AK703" s="268"/>
    </row>
    <row r="704" spans="2:37" ht="62.25" customHeight="1">
      <c r="B704" s="17"/>
      <c r="C704" s="17"/>
      <c r="D704" s="275"/>
      <c r="E704" s="275"/>
      <c r="F704" s="272"/>
      <c r="G704" s="94" t="s">
        <v>356</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v>137000</v>
      </c>
      <c r="AD704" s="42"/>
      <c r="AE704" s="42"/>
      <c r="AF704" s="42"/>
      <c r="AG704" s="42"/>
      <c r="AH704" s="42">
        <f>137000-137000</f>
        <v>0</v>
      </c>
      <c r="AI704" s="42"/>
      <c r="AK704" s="268"/>
    </row>
    <row r="705" spans="2:37" ht="72">
      <c r="B705" s="17"/>
      <c r="C705" s="17"/>
      <c r="D705" s="127"/>
      <c r="E705" s="127"/>
      <c r="F705" s="116"/>
      <c r="G705" s="94" t="s">
        <v>748</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f>70000+192000</f>
        <v>262000</v>
      </c>
      <c r="AD705" s="42">
        <v>10000</v>
      </c>
      <c r="AE705" s="42"/>
      <c r="AF705" s="42"/>
      <c r="AG705" s="42"/>
      <c r="AH705" s="42">
        <f>192000-192000</f>
        <v>0</v>
      </c>
      <c r="AI705" s="42"/>
      <c r="AK705" s="268"/>
    </row>
    <row r="706" spans="2:37" ht="54">
      <c r="B706" s="17"/>
      <c r="C706" s="17"/>
      <c r="D706" s="127"/>
      <c r="E706" s="127"/>
      <c r="F706" s="116"/>
      <c r="G706" s="94" t="s">
        <v>749</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c r="AK706" s="268"/>
    </row>
    <row r="707" spans="2:37" ht="72">
      <c r="B707" s="17"/>
      <c r="C707" s="17"/>
      <c r="D707" s="127"/>
      <c r="E707" s="127"/>
      <c r="F707" s="116"/>
      <c r="G707" s="94" t="s">
        <v>563</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f>65000-2067000-59854</f>
        <v>-2061854</v>
      </c>
      <c r="AD707" s="42">
        <f>6490000+235000</f>
        <v>6725000</v>
      </c>
      <c r="AE707" s="42">
        <f>470000+29854</f>
        <v>499854</v>
      </c>
      <c r="AF707" s="42">
        <f>1000000+507000</f>
        <v>1507000</v>
      </c>
      <c r="AG707" s="42">
        <v>1000000</v>
      </c>
      <c r="AH707" s="42">
        <f>855000+30000</f>
        <v>885000</v>
      </c>
      <c r="AI707" s="42"/>
      <c r="AK707" s="268"/>
    </row>
    <row r="708" spans="2:37" ht="72">
      <c r="B708" s="17"/>
      <c r="C708" s="17"/>
      <c r="D708" s="127"/>
      <c r="E708" s="127"/>
      <c r="F708" s="116"/>
      <c r="G708" s="94" t="s">
        <v>564</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c r="AK708" s="268"/>
    </row>
    <row r="709" spans="2:37" ht="72">
      <c r="B709" s="17"/>
      <c r="C709" s="17"/>
      <c r="D709" s="127"/>
      <c r="E709" s="127"/>
      <c r="F709" s="116"/>
      <c r="G709" s="94" t="s">
        <v>565</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100000-30000-70000+100000</f>
        <v>100000</v>
      </c>
      <c r="AD709" s="42">
        <f>100000-11000</f>
        <v>89000</v>
      </c>
      <c r="AE709" s="42">
        <f>100000-100000</f>
        <v>0</v>
      </c>
      <c r="AF709" s="42"/>
      <c r="AG709" s="42"/>
      <c r="AH709" s="42"/>
      <c r="AI709" s="42">
        <f>81000+29133</f>
        <v>110133</v>
      </c>
      <c r="AK709" s="268"/>
    </row>
    <row r="710" spans="2:37" ht="72">
      <c r="B710" s="17"/>
      <c r="C710" s="17"/>
      <c r="D710" s="127"/>
      <c r="E710" s="127"/>
      <c r="F710" s="116"/>
      <c r="G710" s="94" t="s">
        <v>715</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81000+28897</f>
        <v>109897</v>
      </c>
      <c r="AK710" s="268"/>
    </row>
    <row r="711" spans="2:37" ht="72">
      <c r="B711" s="17"/>
      <c r="C711" s="17"/>
      <c r="D711" s="127"/>
      <c r="E711" s="127"/>
      <c r="F711" s="116"/>
      <c r="G711" s="94" t="s">
        <v>716</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c r="AK711" s="268"/>
    </row>
    <row r="712" spans="2:37" ht="54">
      <c r="B712" s="17"/>
      <c r="C712" s="17"/>
      <c r="D712" s="127"/>
      <c r="E712" s="127"/>
      <c r="F712" s="116"/>
      <c r="G712" s="94" t="s">
        <v>636</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c r="AK712" s="268"/>
    </row>
    <row r="713" spans="2:37" ht="54">
      <c r="B713" s="17"/>
      <c r="C713" s="17"/>
      <c r="D713" s="127"/>
      <c r="E713" s="127"/>
      <c r="F713" s="116"/>
      <c r="G713" s="94" t="s">
        <v>637</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c r="AK713" s="268"/>
    </row>
    <row r="714" spans="2:37" ht="36">
      <c r="B714" s="17"/>
      <c r="C714" s="17"/>
      <c r="D714" s="127"/>
      <c r="E714" s="127"/>
      <c r="F714" s="116"/>
      <c r="G714" s="146" t="s">
        <v>638</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c r="AK714" s="268"/>
    </row>
    <row r="715" spans="2:37" ht="36">
      <c r="B715" s="17"/>
      <c r="C715" s="17"/>
      <c r="D715" s="127"/>
      <c r="E715" s="127"/>
      <c r="F715" s="116"/>
      <c r="G715" s="167" t="s">
        <v>639</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c r="AK715" s="268"/>
    </row>
    <row r="716" spans="2:37" ht="18" customHeight="1">
      <c r="B716" s="17"/>
      <c r="C716" s="17"/>
      <c r="D716" s="284" t="s">
        <v>651</v>
      </c>
      <c r="E716" s="284" t="s">
        <v>684</v>
      </c>
      <c r="F716" s="286" t="s">
        <v>652</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c r="AK716" s="268"/>
    </row>
    <row r="717" spans="2:37" ht="162">
      <c r="B717" s="17"/>
      <c r="C717" s="17"/>
      <c r="D717" s="285"/>
      <c r="E717" s="285"/>
      <c r="F717" s="287"/>
      <c r="G717" s="94" t="s">
        <v>241</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c r="AK717" s="268"/>
    </row>
    <row r="718" spans="2:37" ht="18">
      <c r="B718" s="5"/>
      <c r="C718" s="5"/>
      <c r="D718" s="283" t="s">
        <v>337</v>
      </c>
      <c r="E718" s="283" t="s">
        <v>280</v>
      </c>
      <c r="F718" s="269" t="s">
        <v>349</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87060.75</v>
      </c>
      <c r="AK718" s="268"/>
    </row>
    <row r="719" spans="1:37" s="39" customFormat="1" ht="18">
      <c r="A719" s="2"/>
      <c r="B719" s="259"/>
      <c r="C719" s="259"/>
      <c r="D719" s="283"/>
      <c r="E719" s="283"/>
      <c r="F719" s="269"/>
      <c r="G719" s="199" t="s">
        <v>734</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v>150000</v>
      </c>
      <c r="AD719" s="42">
        <f>150000-150000</f>
        <v>0</v>
      </c>
      <c r="AE719" s="42"/>
      <c r="AF719" s="42"/>
      <c r="AG719" s="42"/>
      <c r="AH719" s="42"/>
      <c r="AI719" s="42"/>
      <c r="AK719" s="268"/>
    </row>
    <row r="720" spans="2:37" ht="90">
      <c r="B720" s="5"/>
      <c r="C720" s="5"/>
      <c r="D720" s="283"/>
      <c r="E720" s="283"/>
      <c r="F720" s="269"/>
      <c r="G720" s="94" t="s">
        <v>458</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f>85910.75</f>
        <v>85910.75</v>
      </c>
      <c r="AK720" s="268"/>
    </row>
    <row r="721" spans="2:37" ht="36">
      <c r="B721" s="5"/>
      <c r="C721" s="5"/>
      <c r="D721" s="283"/>
      <c r="E721" s="283"/>
      <c r="F721" s="269"/>
      <c r="G721" s="94" t="s">
        <v>106</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c r="AK721" s="268"/>
    </row>
    <row r="722" spans="2:37" ht="51.75">
      <c r="B722" s="5"/>
      <c r="C722" s="5"/>
      <c r="D722" s="283"/>
      <c r="E722" s="283"/>
      <c r="F722" s="269"/>
      <c r="G722" s="95" t="s">
        <v>101</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c r="AK722" s="268"/>
    </row>
    <row r="723" spans="2:37" ht="36">
      <c r="B723" s="5"/>
      <c r="C723" s="5"/>
      <c r="D723" s="283"/>
      <c r="E723" s="283"/>
      <c r="F723" s="269"/>
      <c r="G723" s="94" t="s">
        <v>107</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c r="AK723" s="268"/>
    </row>
    <row r="724" spans="2:37" ht="54">
      <c r="B724" s="17"/>
      <c r="C724" s="17"/>
      <c r="D724" s="283"/>
      <c r="E724" s="283"/>
      <c r="F724" s="269"/>
      <c r="G724" s="94" t="s">
        <v>489</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c r="AK724" s="268"/>
    </row>
    <row r="725" spans="2:37" ht="54">
      <c r="B725" s="17"/>
      <c r="C725" s="17"/>
      <c r="D725" s="283"/>
      <c r="E725" s="283"/>
      <c r="F725" s="269"/>
      <c r="G725" s="94" t="s">
        <v>625</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c r="AK725" s="268"/>
    </row>
    <row r="726" spans="2:37" ht="54">
      <c r="B726" s="17"/>
      <c r="C726" s="17"/>
      <c r="D726" s="283"/>
      <c r="E726" s="283"/>
      <c r="F726" s="269"/>
      <c r="G726" s="94" t="s">
        <v>174</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c r="AK726" s="268"/>
    </row>
    <row r="727" spans="2:37" ht="54">
      <c r="B727" s="17"/>
      <c r="C727" s="17"/>
      <c r="D727" s="283"/>
      <c r="E727" s="283"/>
      <c r="F727" s="269"/>
      <c r="G727" s="94" t="s">
        <v>127</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c r="AK727" s="268"/>
    </row>
    <row r="728" spans="2:37" ht="51.75">
      <c r="B728" s="17"/>
      <c r="C728" s="17"/>
      <c r="D728" s="283"/>
      <c r="E728" s="283"/>
      <c r="F728" s="269"/>
      <c r="G728" s="95" t="s">
        <v>68</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c r="AK728" s="268"/>
    </row>
    <row r="729" spans="2:37" ht="36">
      <c r="B729" s="17"/>
      <c r="C729" s="17"/>
      <c r="D729" s="283"/>
      <c r="E729" s="283"/>
      <c r="F729" s="269"/>
      <c r="G729" s="94" t="s">
        <v>128</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c r="AK729" s="268"/>
    </row>
    <row r="730" spans="2:37" ht="36">
      <c r="B730" s="17"/>
      <c r="C730" s="17"/>
      <c r="D730" s="283"/>
      <c r="E730" s="283"/>
      <c r="F730" s="269"/>
      <c r="G730" s="94" t="s">
        <v>137</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c r="AK730" s="268"/>
    </row>
    <row r="731" spans="2:37" ht="51.75">
      <c r="B731" s="17"/>
      <c r="C731" s="17"/>
      <c r="D731" s="283"/>
      <c r="E731" s="283"/>
      <c r="F731" s="269"/>
      <c r="G731" s="95" t="s">
        <v>69</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-150000</v>
      </c>
      <c r="AD731" s="59">
        <f t="shared" si="90"/>
        <v>150000</v>
      </c>
      <c r="AE731" s="59">
        <f t="shared" si="90"/>
        <v>0</v>
      </c>
      <c r="AF731" s="59">
        <f t="shared" si="90"/>
        <v>0</v>
      </c>
      <c r="AG731" s="59">
        <f t="shared" si="90"/>
        <v>0</v>
      </c>
      <c r="AH731" s="59">
        <f t="shared" si="90"/>
        <v>100000</v>
      </c>
      <c r="AI731" s="59">
        <f t="shared" si="90"/>
        <v>0</v>
      </c>
      <c r="AK731" s="268"/>
    </row>
    <row r="732" spans="2:37" ht="36">
      <c r="B732" s="5"/>
      <c r="C732" s="5"/>
      <c r="D732" s="283"/>
      <c r="E732" s="283"/>
      <c r="F732" s="269"/>
      <c r="G732" s="94" t="s">
        <v>138</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c r="AK732" s="268"/>
    </row>
    <row r="733" spans="2:37" ht="36">
      <c r="B733" s="5"/>
      <c r="C733" s="5"/>
      <c r="D733" s="283"/>
      <c r="E733" s="283"/>
      <c r="F733" s="269"/>
      <c r="G733" s="94" t="s">
        <v>139</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c r="AK733" s="268"/>
    </row>
    <row r="734" spans="2:37" ht="36" hidden="1">
      <c r="B734" s="5"/>
      <c r="C734" s="5"/>
      <c r="D734" s="283"/>
      <c r="E734" s="283"/>
      <c r="F734" s="269"/>
      <c r="G734" s="94" t="s">
        <v>140</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c r="AK734" s="268"/>
    </row>
    <row r="735" spans="2:37" ht="36">
      <c r="B735" s="5"/>
      <c r="C735" s="5"/>
      <c r="D735" s="283"/>
      <c r="E735" s="283"/>
      <c r="F735" s="269"/>
      <c r="G735" s="94" t="s">
        <v>141</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v>-150000</v>
      </c>
      <c r="AD735" s="42">
        <v>150000</v>
      </c>
      <c r="AE735" s="42"/>
      <c r="AF735" s="42"/>
      <c r="AG735" s="42"/>
      <c r="AH735" s="42"/>
      <c r="AI735" s="42"/>
      <c r="AK735" s="268"/>
    </row>
    <row r="736" spans="2:37" ht="90" hidden="1">
      <c r="B736" s="5"/>
      <c r="C736" s="5"/>
      <c r="D736" s="283"/>
      <c r="E736" s="283"/>
      <c r="F736" s="269"/>
      <c r="G736" s="94" t="s">
        <v>710</v>
      </c>
      <c r="H736" s="62"/>
      <c r="I736" s="149"/>
      <c r="J736" s="150"/>
      <c r="K736" s="42"/>
      <c r="L736" s="42"/>
      <c r="M736" s="42"/>
      <c r="N736" s="91">
        <v>3110</v>
      </c>
      <c r="O736" s="150"/>
      <c r="P736" s="150"/>
      <c r="Q736" s="53">
        <v>90000</v>
      </c>
      <c r="R736" s="53"/>
      <c r="S736" s="260" t="s">
        <v>689</v>
      </c>
      <c r="T736" s="260">
        <v>-90000</v>
      </c>
      <c r="U736" s="53"/>
      <c r="V736" s="53">
        <f>90000-90000</f>
        <v>0</v>
      </c>
      <c r="W736" s="42"/>
      <c r="X736" s="42"/>
      <c r="Y736" s="42"/>
      <c r="Z736" s="42">
        <v>90000</v>
      </c>
      <c r="AA736" s="42">
        <v>-90000</v>
      </c>
      <c r="AB736" s="42"/>
      <c r="AC736" s="42"/>
      <c r="AD736" s="42"/>
      <c r="AE736" s="42"/>
      <c r="AF736" s="42"/>
      <c r="AG736" s="42"/>
      <c r="AH736" s="42">
        <f>90000-90000</f>
        <v>0</v>
      </c>
      <c r="AI736" s="42"/>
      <c r="AK736" s="268"/>
    </row>
    <row r="737" spans="2:37" ht="34.5">
      <c r="B737" s="5" t="s">
        <v>195</v>
      </c>
      <c r="D737" s="102"/>
      <c r="E737" s="103"/>
      <c r="F737" s="77" t="s">
        <v>682</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1265470.1099999999</v>
      </c>
      <c r="AK737" s="268"/>
    </row>
    <row r="738" spans="2:37" ht="18">
      <c r="B738" s="5"/>
      <c r="D738" s="277" t="s">
        <v>335</v>
      </c>
      <c r="E738" s="279" t="s">
        <v>317</v>
      </c>
      <c r="F738" s="271" t="s">
        <v>336</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c r="AK738" s="268"/>
    </row>
    <row r="739" spans="2:37" ht="36">
      <c r="B739" s="5"/>
      <c r="D739" s="278"/>
      <c r="E739" s="280"/>
      <c r="F739" s="272"/>
      <c r="G739" s="88" t="s">
        <v>126</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c r="AK739" s="268"/>
    </row>
    <row r="740" spans="2:37" ht="36">
      <c r="B740" s="5"/>
      <c r="D740" s="278"/>
      <c r="E740" s="280"/>
      <c r="F740" s="272"/>
      <c r="G740" s="88" t="s">
        <v>399</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c r="AK740" s="268"/>
    </row>
    <row r="741" spans="2:37" ht="72">
      <c r="B741" s="5"/>
      <c r="D741" s="278"/>
      <c r="E741" s="280"/>
      <c r="F741" s="272"/>
      <c r="G741" s="88" t="s">
        <v>129</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c r="AK741" s="268"/>
    </row>
    <row r="742" spans="2:37" ht="18">
      <c r="B742" s="5"/>
      <c r="D742" s="274" t="s">
        <v>454</v>
      </c>
      <c r="E742" s="277" t="s">
        <v>455</v>
      </c>
      <c r="F742" s="271" t="s">
        <v>456</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c r="AK742" s="268"/>
    </row>
    <row r="743" spans="2:37" ht="72">
      <c r="B743" s="5"/>
      <c r="D743" s="275"/>
      <c r="E743" s="278"/>
      <c r="F743" s="272"/>
      <c r="G743" s="88" t="s">
        <v>130</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c r="AK743" s="268"/>
    </row>
    <row r="744" spans="2:37" ht="72">
      <c r="B744" s="5"/>
      <c r="D744" s="276"/>
      <c r="E744" s="270"/>
      <c r="F744" s="273"/>
      <c r="G744" s="88" t="s">
        <v>116</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c r="AK744" s="268"/>
    </row>
    <row r="745" spans="2:37" ht="18">
      <c r="B745" s="5"/>
      <c r="C745" s="5"/>
      <c r="D745" s="283" t="s">
        <v>337</v>
      </c>
      <c r="E745" s="283" t="s">
        <v>280</v>
      </c>
      <c r="F745" s="269" t="s">
        <v>349</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1016497.11</v>
      </c>
      <c r="AK745" s="268"/>
    </row>
    <row r="746" spans="2:37" ht="97.5" customHeight="1">
      <c r="B746" s="5"/>
      <c r="C746" s="5"/>
      <c r="D746" s="283"/>
      <c r="E746" s="283"/>
      <c r="F746" s="269"/>
      <c r="G746" s="95" t="s">
        <v>299</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1016497.11</v>
      </c>
      <c r="AK746" s="268"/>
    </row>
    <row r="747" spans="2:37" ht="54">
      <c r="B747" s="5"/>
      <c r="C747" s="5"/>
      <c r="D747" s="283"/>
      <c r="E747" s="283"/>
      <c r="F747" s="269"/>
      <c r="G747" s="214" t="s">
        <v>386</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c r="AK747" s="268"/>
    </row>
    <row r="748" spans="2:37" ht="36" hidden="1">
      <c r="B748" s="5"/>
      <c r="C748" s="5"/>
      <c r="D748" s="283"/>
      <c r="E748" s="283"/>
      <c r="F748" s="269"/>
      <c r="G748" s="214" t="s">
        <v>117</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c r="AK748" s="268"/>
    </row>
    <row r="749" spans="2:37" ht="36">
      <c r="B749" s="5"/>
      <c r="C749" s="5"/>
      <c r="D749" s="283"/>
      <c r="E749" s="283"/>
      <c r="F749" s="269"/>
      <c r="G749" s="214" t="s">
        <v>387</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119324+5544+54340+2560.6+80560.57+3237.6</f>
        <v>265566.77</v>
      </c>
      <c r="AK749" s="268"/>
    </row>
    <row r="750" spans="2:37" ht="36">
      <c r="B750" s="5"/>
      <c r="C750" s="5"/>
      <c r="D750" s="283"/>
      <c r="E750" s="283"/>
      <c r="F750" s="269"/>
      <c r="G750" s="214" t="s">
        <v>133</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f>1594+27830.46</f>
        <v>29424.46</v>
      </c>
      <c r="AK750" s="268"/>
    </row>
    <row r="751" spans="2:37" ht="36">
      <c r="B751" s="5"/>
      <c r="C751" s="5"/>
      <c r="D751" s="283"/>
      <c r="E751" s="283"/>
      <c r="F751" s="269"/>
      <c r="G751" s="214" t="s">
        <v>118</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c r="AK751" s="268"/>
    </row>
    <row r="752" spans="2:37" ht="36">
      <c r="B752" s="5"/>
      <c r="C752" s="5"/>
      <c r="D752" s="283"/>
      <c r="E752" s="283"/>
      <c r="F752" s="269"/>
      <c r="G752" s="214" t="s">
        <v>222</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c r="AK752" s="268"/>
    </row>
    <row r="753" spans="2:37" ht="51.75">
      <c r="B753" s="5" t="s">
        <v>196</v>
      </c>
      <c r="C753" s="5"/>
      <c r="D753" s="283"/>
      <c r="E753" s="283"/>
      <c r="F753" s="269"/>
      <c r="G753" s="95" t="s">
        <v>224</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c r="AK753" s="268"/>
    </row>
    <row r="754" spans="2:37" ht="34.5">
      <c r="B754" s="5"/>
      <c r="C754" s="5"/>
      <c r="D754" s="235"/>
      <c r="E754" s="235"/>
      <c r="F754" s="236" t="s">
        <v>683</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c r="AK754" s="268"/>
    </row>
    <row r="755" spans="2:37" ht="18">
      <c r="B755" s="5"/>
      <c r="C755" s="5"/>
      <c r="D755" s="282" t="s">
        <v>335</v>
      </c>
      <c r="E755" s="282" t="s">
        <v>317</v>
      </c>
      <c r="F755" s="269" t="s">
        <v>336</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c r="AK755" s="268"/>
    </row>
    <row r="756" spans="2:37" ht="36">
      <c r="B756" s="5"/>
      <c r="C756" s="5"/>
      <c r="D756" s="282"/>
      <c r="E756" s="282"/>
      <c r="F756" s="269"/>
      <c r="G756" s="141" t="s">
        <v>657</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c r="AK756" s="268"/>
    </row>
    <row r="757" spans="2:37" ht="18" hidden="1">
      <c r="B757" s="5"/>
      <c r="C757" s="5"/>
      <c r="D757" s="282" t="s">
        <v>337</v>
      </c>
      <c r="E757" s="282" t="s">
        <v>280</v>
      </c>
      <c r="F757" s="269" t="s">
        <v>349</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c r="AK757" s="268"/>
    </row>
    <row r="758" spans="2:37" ht="54" hidden="1">
      <c r="B758" s="5"/>
      <c r="C758" s="5"/>
      <c r="D758" s="282"/>
      <c r="E758" s="282"/>
      <c r="F758" s="269"/>
      <c r="G758" s="141" t="s">
        <v>751</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c r="AK758" s="268"/>
    </row>
    <row r="759" spans="2:37" ht="51.75">
      <c r="B759" s="17"/>
      <c r="C759" s="17"/>
      <c r="D759" s="235"/>
      <c r="E759" s="235"/>
      <c r="F759" s="236" t="s">
        <v>736</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c r="AK759" s="268"/>
    </row>
    <row r="760" spans="2:37" ht="18" hidden="1">
      <c r="B760" s="17"/>
      <c r="C760" s="17"/>
      <c r="D760" s="277" t="s">
        <v>190</v>
      </c>
      <c r="E760" s="277" t="s">
        <v>684</v>
      </c>
      <c r="F760" s="271" t="s">
        <v>735</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c r="AK760" s="268"/>
    </row>
    <row r="761" spans="2:37" ht="18" hidden="1">
      <c r="B761" s="17"/>
      <c r="C761" s="17"/>
      <c r="D761" s="278"/>
      <c r="E761" s="278"/>
      <c r="F761" s="272"/>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c r="AK761" s="268"/>
    </row>
    <row r="762" spans="2:37" ht="18">
      <c r="B762" s="17"/>
      <c r="C762" s="17"/>
      <c r="D762" s="277" t="s">
        <v>293</v>
      </c>
      <c r="E762" s="277" t="s">
        <v>684</v>
      </c>
      <c r="F762" s="271" t="s">
        <v>294</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c r="AK762" s="268"/>
    </row>
    <row r="763" spans="2:37" ht="70.5">
      <c r="B763" s="17"/>
      <c r="C763" s="17"/>
      <c r="D763" s="270"/>
      <c r="E763" s="270"/>
      <c r="F763" s="273"/>
      <c r="G763" s="139" t="s">
        <v>627</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c r="AK763" s="268"/>
    </row>
    <row r="764" spans="2:37" ht="18" hidden="1">
      <c r="B764" s="17"/>
      <c r="C764" s="17"/>
      <c r="D764" s="277" t="s">
        <v>651</v>
      </c>
      <c r="E764" s="277" t="s">
        <v>684</v>
      </c>
      <c r="F764" s="271" t="s">
        <v>652</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c r="AK764" s="268"/>
    </row>
    <row r="765" spans="2:37" ht="18" hidden="1">
      <c r="B765" s="17"/>
      <c r="C765" s="17"/>
      <c r="D765" s="278"/>
      <c r="E765" s="278"/>
      <c r="F765" s="272"/>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c r="AK765" s="268"/>
    </row>
    <row r="766" spans="2:37" ht="18">
      <c r="B766" s="6"/>
      <c r="C766" s="15"/>
      <c r="D766" s="75"/>
      <c r="E766" s="75"/>
      <c r="F766" s="77" t="s">
        <v>298</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128017923.59</v>
      </c>
      <c r="AK766" s="268"/>
    </row>
    <row r="768" spans="22:29" ht="21">
      <c r="V768" s="266"/>
      <c r="AC768" s="263"/>
    </row>
  </sheetData>
  <sheetProtection/>
  <mergeCells count="219">
    <mergeCell ref="F716:F717"/>
    <mergeCell ref="E716:E717"/>
    <mergeCell ref="D716:D717"/>
    <mergeCell ref="D447:D448"/>
    <mergeCell ref="E447:E448"/>
    <mergeCell ref="F447:F448"/>
    <mergeCell ref="D449:D463"/>
    <mergeCell ref="E449:E463"/>
    <mergeCell ref="F449:F463"/>
    <mergeCell ref="E465:E466"/>
    <mergeCell ref="E163:E248"/>
    <mergeCell ref="F25:F27"/>
    <mergeCell ref="J3:J4"/>
    <mergeCell ref="F3:F4"/>
    <mergeCell ref="G3:G4"/>
    <mergeCell ref="E3:E4"/>
    <mergeCell ref="E25:E27"/>
    <mergeCell ref="F163:F248"/>
    <mergeCell ref="F23:F24"/>
    <mergeCell ref="F40:F162"/>
    <mergeCell ref="AC3:AC4"/>
    <mergeCell ref="D3:D4"/>
    <mergeCell ref="K3:K4"/>
    <mergeCell ref="W3:W4"/>
    <mergeCell ref="X3:X4"/>
    <mergeCell ref="L3:L4"/>
    <mergeCell ref="D25:D27"/>
    <mergeCell ref="D23:D24"/>
    <mergeCell ref="E23:E24"/>
    <mergeCell ref="F6:F22"/>
    <mergeCell ref="I3:I4"/>
    <mergeCell ref="D33:D39"/>
    <mergeCell ref="E33:E39"/>
    <mergeCell ref="F33:F39"/>
    <mergeCell ref="D29:D31"/>
    <mergeCell ref="E29:E31"/>
    <mergeCell ref="F29:F31"/>
    <mergeCell ref="E6:E22"/>
    <mergeCell ref="D6:D22"/>
    <mergeCell ref="AA3:AA4"/>
    <mergeCell ref="M3:M4"/>
    <mergeCell ref="V3:V4"/>
    <mergeCell ref="Y3:Y4"/>
    <mergeCell ref="N3:N4"/>
    <mergeCell ref="Z3:Z4"/>
    <mergeCell ref="O3:U3"/>
    <mergeCell ref="H3:H4"/>
    <mergeCell ref="D40:D162"/>
    <mergeCell ref="E40:E162"/>
    <mergeCell ref="B1:AI1"/>
    <mergeCell ref="AB3:AB4"/>
    <mergeCell ref="AD3:AD4"/>
    <mergeCell ref="AE3:AE4"/>
    <mergeCell ref="AF3:AF4"/>
    <mergeCell ref="AG3:AG4"/>
    <mergeCell ref="AI3:AI4"/>
    <mergeCell ref="AH3:AH4"/>
    <mergeCell ref="D270:D272"/>
    <mergeCell ref="E270:E272"/>
    <mergeCell ref="F270:F272"/>
    <mergeCell ref="D163:D248"/>
    <mergeCell ref="D268:D269"/>
    <mergeCell ref="E268:E269"/>
    <mergeCell ref="F268:F269"/>
    <mergeCell ref="E249:E267"/>
    <mergeCell ref="F249:F267"/>
    <mergeCell ref="D249:D267"/>
    <mergeCell ref="D273:D277"/>
    <mergeCell ref="E273:E277"/>
    <mergeCell ref="F273:F277"/>
    <mergeCell ref="D278:D284"/>
    <mergeCell ref="E278:E284"/>
    <mergeCell ref="F278:F284"/>
    <mergeCell ref="D301:D312"/>
    <mergeCell ref="E301:E312"/>
    <mergeCell ref="F301:F312"/>
    <mergeCell ref="D285:D300"/>
    <mergeCell ref="E285:E300"/>
    <mergeCell ref="F285:F300"/>
    <mergeCell ref="D313:D334"/>
    <mergeCell ref="E313:E334"/>
    <mergeCell ref="F313:F334"/>
    <mergeCell ref="D335:D336"/>
    <mergeCell ref="E335:E336"/>
    <mergeCell ref="F335:F336"/>
    <mergeCell ref="D337:D349"/>
    <mergeCell ref="E337:E349"/>
    <mergeCell ref="F337:F349"/>
    <mergeCell ref="D350:D351"/>
    <mergeCell ref="E350:E351"/>
    <mergeCell ref="F350:F351"/>
    <mergeCell ref="D352:D360"/>
    <mergeCell ref="E352:E360"/>
    <mergeCell ref="F352:F360"/>
    <mergeCell ref="D361:D375"/>
    <mergeCell ref="E361:E375"/>
    <mergeCell ref="F361:F375"/>
    <mergeCell ref="D376:D379"/>
    <mergeCell ref="E376:E379"/>
    <mergeCell ref="F376:F379"/>
    <mergeCell ref="D380:D397"/>
    <mergeCell ref="E380:E397"/>
    <mergeCell ref="F380:F397"/>
    <mergeCell ref="D399:D414"/>
    <mergeCell ref="E399:E414"/>
    <mergeCell ref="F399:F414"/>
    <mergeCell ref="D418:D427"/>
    <mergeCell ref="E418:E427"/>
    <mergeCell ref="F418:F427"/>
    <mergeCell ref="D415:D417"/>
    <mergeCell ref="E415:E417"/>
    <mergeCell ref="F415:F417"/>
    <mergeCell ref="F465:F466"/>
    <mergeCell ref="D467:D489"/>
    <mergeCell ref="E467:E489"/>
    <mergeCell ref="F467:F489"/>
    <mergeCell ref="D465:D466"/>
    <mergeCell ref="D490:D491"/>
    <mergeCell ref="E490:E491"/>
    <mergeCell ref="F490:F491"/>
    <mergeCell ref="D492:D497"/>
    <mergeCell ref="E492:E497"/>
    <mergeCell ref="F492:F497"/>
    <mergeCell ref="D498:D499"/>
    <mergeCell ref="E498:E499"/>
    <mergeCell ref="F498:F499"/>
    <mergeCell ref="D500:D531"/>
    <mergeCell ref="E500:E531"/>
    <mergeCell ref="F500:F531"/>
    <mergeCell ref="D532:D589"/>
    <mergeCell ref="E532:E589"/>
    <mergeCell ref="F532:F589"/>
    <mergeCell ref="D590:D595"/>
    <mergeCell ref="E590:E595"/>
    <mergeCell ref="F590:F595"/>
    <mergeCell ref="D596:D601"/>
    <mergeCell ref="E596:E601"/>
    <mergeCell ref="F596:F601"/>
    <mergeCell ref="D602:D604"/>
    <mergeCell ref="E602:E604"/>
    <mergeCell ref="F602:F604"/>
    <mergeCell ref="D605:D606"/>
    <mergeCell ref="E605:E606"/>
    <mergeCell ref="F605:F606"/>
    <mergeCell ref="D607:D609"/>
    <mergeCell ref="E607:E609"/>
    <mergeCell ref="F607:F609"/>
    <mergeCell ref="D611:D614"/>
    <mergeCell ref="E611:E614"/>
    <mergeCell ref="F611:F614"/>
    <mergeCell ref="D615:D620"/>
    <mergeCell ref="E615:E620"/>
    <mergeCell ref="F615:F620"/>
    <mergeCell ref="D626:D627"/>
    <mergeCell ref="E626:E627"/>
    <mergeCell ref="F626:F627"/>
    <mergeCell ref="D621:D625"/>
    <mergeCell ref="E621:E625"/>
    <mergeCell ref="F621:F625"/>
    <mergeCell ref="D628:D629"/>
    <mergeCell ref="E628:E629"/>
    <mergeCell ref="F628:F629"/>
    <mergeCell ref="D630:D634"/>
    <mergeCell ref="E630:E634"/>
    <mergeCell ref="F630:F634"/>
    <mergeCell ref="D635:D638"/>
    <mergeCell ref="E635:E638"/>
    <mergeCell ref="F635:F638"/>
    <mergeCell ref="D639:D658"/>
    <mergeCell ref="E639:E658"/>
    <mergeCell ref="F639:F658"/>
    <mergeCell ref="D659:D661"/>
    <mergeCell ref="E659:E661"/>
    <mergeCell ref="F659:F661"/>
    <mergeCell ref="D664:D704"/>
    <mergeCell ref="E664:E704"/>
    <mergeCell ref="F664:F704"/>
    <mergeCell ref="D662:D663"/>
    <mergeCell ref="E662:E663"/>
    <mergeCell ref="F662:F663"/>
    <mergeCell ref="D742:D744"/>
    <mergeCell ref="E742:E744"/>
    <mergeCell ref="F742:F744"/>
    <mergeCell ref="D718:D736"/>
    <mergeCell ref="E718:E736"/>
    <mergeCell ref="F718:F736"/>
    <mergeCell ref="D738:D741"/>
    <mergeCell ref="E738:E741"/>
    <mergeCell ref="F738:F741"/>
    <mergeCell ref="E757:E758"/>
    <mergeCell ref="F757:F758"/>
    <mergeCell ref="D764:D765"/>
    <mergeCell ref="E764:E765"/>
    <mergeCell ref="F764:F765"/>
    <mergeCell ref="D760:D761"/>
    <mergeCell ref="E760:E761"/>
    <mergeCell ref="F760:F761"/>
    <mergeCell ref="D757:D758"/>
    <mergeCell ref="D762:D763"/>
    <mergeCell ref="E762:E763"/>
    <mergeCell ref="F762:F763"/>
    <mergeCell ref="D755:D756"/>
    <mergeCell ref="E755:E756"/>
    <mergeCell ref="F755:F756"/>
    <mergeCell ref="D745:D753"/>
    <mergeCell ref="E745:E753"/>
    <mergeCell ref="F745:F753"/>
    <mergeCell ref="D437:D446"/>
    <mergeCell ref="D434:D435"/>
    <mergeCell ref="E434:E435"/>
    <mergeCell ref="F434:F435"/>
    <mergeCell ref="F437:F446"/>
    <mergeCell ref="E437:E446"/>
    <mergeCell ref="F428:F430"/>
    <mergeCell ref="E428:E430"/>
    <mergeCell ref="D428:D430"/>
    <mergeCell ref="E431:E433"/>
    <mergeCell ref="F431:F433"/>
    <mergeCell ref="D431:D43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2016-07-13T13:22:37Z</dcterms:modified>
  <cp:category/>
  <cp:version/>
  <cp:contentType/>
  <cp:contentStatus/>
</cp:coreProperties>
</file>